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590e\Documents\Other\"/>
    </mc:Choice>
  </mc:AlternateContent>
  <bookViews>
    <workbookView xWindow="0" yWindow="0" windowWidth="28800" windowHeight="11235"/>
  </bookViews>
  <sheets>
    <sheet name="Laser Analysis" sheetId="1" r:id="rId1"/>
    <sheet name="Damage Analysis" sheetId="3" r:id="rId2"/>
    <sheet name="Altitude Laser Analysis" sheetId="4" r:id="rId3"/>
    <sheet name="Coefficients" sheetId="2" r:id="rId4"/>
  </sheets>
  <definedNames>
    <definedName name="Aerosol1045">Coefficients!$B$2</definedName>
    <definedName name="Aerosol1625">Coefficients!$B$3</definedName>
    <definedName name="Aerosol2141">Coefficients!$B$4</definedName>
    <definedName name="AerosolAb1045">Coefficients!$B$9</definedName>
    <definedName name="AerosolAb1625">Coefficients!$B$10</definedName>
    <definedName name="AerosolAb2141">Coefficients!$B$11</definedName>
    <definedName name="GamTB">Coefficients!$B$5</definedName>
    <definedName name="ScaleHeight">Coefficients!$B$12</definedName>
    <definedName name="solver_adj" localSheetId="2" hidden="1">'Altitude Laser Analysis'!$L$7</definedName>
    <definedName name="solver_adj" localSheetId="1" hidden="1">'Damage Analysis'!$B$8</definedName>
    <definedName name="solver_adj" localSheetId="0" hidden="1">'Laser Analysis'!$L$7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2</definedName>
    <definedName name="solver_drv" localSheetId="1" hidden="1">2</definedName>
    <definedName name="solver_drv" localSheetId="0" hidden="1">2</definedName>
    <definedName name="solver_eng" localSheetId="2" hidden="1">1</definedName>
    <definedName name="solver_eng" localSheetId="1" hidden="1">1</definedName>
    <definedName name="solver_eng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2147483647</definedName>
    <definedName name="solver_itr" localSheetId="1" hidden="1">2147483647</definedName>
    <definedName name="solver_itr" localSheetId="0" hidden="1">2147483647</definedName>
    <definedName name="solver_lhs1" localSheetId="2" hidden="1">'Altitude Laser Analysis'!$B$7</definedName>
    <definedName name="solver_lhs1" localSheetId="0" hidden="1">'Laser Analysis'!$B$7</definedName>
    <definedName name="solver_mip" localSheetId="2" hidden="1">2147483647</definedName>
    <definedName name="solver_mip" localSheetId="1" hidden="1">2147483647</definedName>
    <definedName name="solver_mip" localSheetId="0" hidden="1">2147483647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rt" localSheetId="2" hidden="1">0.075</definedName>
    <definedName name="solver_mrt" localSheetId="1" hidden="1">0.075</definedName>
    <definedName name="solver_mrt" localSheetId="0" hidden="1">0.075</definedName>
    <definedName name="solver_msl" localSheetId="2" hidden="1">2</definedName>
    <definedName name="solver_msl" localSheetId="1" hidden="1">2</definedName>
    <definedName name="solver_msl" localSheetId="0" hidden="1">2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od" localSheetId="2" hidden="1">2147483647</definedName>
    <definedName name="solver_nod" localSheetId="1" hidden="1">2147483647</definedName>
    <definedName name="solver_nod" localSheetId="0" hidden="1">2147483647</definedName>
    <definedName name="solver_num" localSheetId="2" hidden="1">1</definedName>
    <definedName name="solver_num" localSheetId="1" hidden="1">0</definedName>
    <definedName name="solver_num" localSheetId="0" hidden="1">1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'Altitude Laser Analysis'!$L$22</definedName>
    <definedName name="solver_opt" localSheetId="1" hidden="1">'Damage Analysis'!$B$21</definedName>
    <definedName name="solver_opt" localSheetId="0" hidden="1">'Laser Analysis'!$L$20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bv" localSheetId="2" hidden="1">2</definedName>
    <definedName name="solver_rbv" localSheetId="1" hidden="1">2</definedName>
    <definedName name="solver_rbv" localSheetId="0" hidden="1">2</definedName>
    <definedName name="solver_rel1" localSheetId="2" hidden="1">3</definedName>
    <definedName name="solver_rel1" localSheetId="0" hidden="1">3</definedName>
    <definedName name="solver_rhs1" localSheetId="2" hidden="1">100</definedName>
    <definedName name="solver_rhs1" localSheetId="0" hidden="1">100</definedName>
    <definedName name="solver_rlx" localSheetId="2" hidden="1">2</definedName>
    <definedName name="solver_rlx" localSheetId="1" hidden="1">2</definedName>
    <definedName name="solver_rlx" localSheetId="0" hidden="1">2</definedName>
    <definedName name="solver_rsd" localSheetId="2" hidden="1">0</definedName>
    <definedName name="solver_rsd" localSheetId="1" hidden="1">0</definedName>
    <definedName name="solver_rsd" localSheetId="0" hidden="1">0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tim" localSheetId="2" hidden="1">2147483647</definedName>
    <definedName name="solver_tim" localSheetId="1" hidden="1">2147483647</definedName>
    <definedName name="solver_tim" localSheetId="0" hidden="1">2147483647</definedName>
    <definedName name="solver_tol" localSheetId="2" hidden="1">0.01</definedName>
    <definedName name="solver_tol" localSheetId="1" hidden="1">0.01</definedName>
    <definedName name="solver_tol" localSheetId="0" hidden="1">0.01</definedName>
    <definedName name="solver_typ" localSheetId="2" hidden="1">3</definedName>
    <definedName name="solver_typ" localSheetId="1" hidden="1">3</definedName>
    <definedName name="solver_typ" localSheetId="0" hidden="1">3</definedName>
    <definedName name="solver_val" localSheetId="2" hidden="1">12460</definedName>
    <definedName name="solver_val" localSheetId="1" hidden="1">1166651</definedName>
    <definedName name="solver_val" localSheetId="0" hidden="1">12460</definedName>
    <definedName name="solver_ver" localSheetId="2" hidden="1">3</definedName>
    <definedName name="solver_ver" localSheetId="1" hidden="1">3</definedName>
    <definedName name="solver_ver" localSheetId="0" hidden="1">3</definedName>
    <definedName name="TurbulenceCoeff">Coefficients!$B$1</definedName>
    <definedName name="Vapor1045">Coefficients!$B$6</definedName>
    <definedName name="Vapor1625">Coefficients!$B$7</definedName>
    <definedName name="Vapor2141">Coefficients!$B$8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M9" i="4"/>
  <c r="K9" i="4"/>
  <c r="F8" i="4"/>
  <c r="G8" i="4"/>
  <c r="F9" i="4"/>
  <c r="C8" i="4"/>
  <c r="D8" i="4"/>
  <c r="D16" i="4" s="1"/>
  <c r="C9" i="4"/>
  <c r="D9" i="4"/>
  <c r="I9" i="4"/>
  <c r="J9" i="4"/>
  <c r="B14" i="4"/>
  <c r="B23" i="4" s="1"/>
  <c r="F3" i="3"/>
  <c r="G3" i="3"/>
  <c r="F4" i="3"/>
  <c r="G4" i="3"/>
  <c r="F5" i="3"/>
  <c r="G5" i="3"/>
  <c r="E5" i="3"/>
  <c r="E3" i="3"/>
  <c r="E4" i="3"/>
  <c r="C3" i="3"/>
  <c r="D3" i="3"/>
  <c r="D4" i="3" s="1"/>
  <c r="C4" i="3"/>
  <c r="B3" i="3"/>
  <c r="E19" i="4"/>
  <c r="B19" i="4"/>
  <c r="E17" i="4"/>
  <c r="B17" i="4"/>
  <c r="F14" i="4"/>
  <c r="E14" i="4"/>
  <c r="B16" i="4"/>
  <c r="F12" i="4"/>
  <c r="B12" i="4"/>
  <c r="B13" i="4" s="1"/>
  <c r="C10" i="4"/>
  <c r="C14" i="4" s="1"/>
  <c r="D10" i="4"/>
  <c r="D12" i="4" s="1"/>
  <c r="E10" i="4"/>
  <c r="E12" i="4" s="1"/>
  <c r="F10" i="4"/>
  <c r="G10" i="4"/>
  <c r="G12" i="4" s="1"/>
  <c r="H10" i="4"/>
  <c r="H12" i="4" s="1"/>
  <c r="B10" i="4"/>
  <c r="B8" i="4"/>
  <c r="B11" i="4" s="1"/>
  <c r="E16" i="3"/>
  <c r="F16" i="3"/>
  <c r="G16" i="3"/>
  <c r="H16" i="3"/>
  <c r="I16" i="3"/>
  <c r="J16" i="3"/>
  <c r="K16" i="3"/>
  <c r="L16" i="3"/>
  <c r="M16" i="3"/>
  <c r="J7" i="4"/>
  <c r="J10" i="4" s="1"/>
  <c r="J14" i="4" s="1"/>
  <c r="I7" i="4"/>
  <c r="I10" i="4" s="1"/>
  <c r="G7" i="4"/>
  <c r="F7" i="4"/>
  <c r="D7" i="4"/>
  <c r="C7" i="4"/>
  <c r="M5" i="4"/>
  <c r="L5" i="4"/>
  <c r="K5" i="4"/>
  <c r="J5" i="4"/>
  <c r="I5" i="4"/>
  <c r="H5" i="4"/>
  <c r="G5" i="4"/>
  <c r="F5" i="4"/>
  <c r="E5" i="4"/>
  <c r="D5" i="4"/>
  <c r="C5" i="4"/>
  <c r="B5" i="4"/>
  <c r="G14" i="4" l="1"/>
  <c r="D17" i="4"/>
  <c r="D18" i="4" s="1"/>
  <c r="D19" i="4"/>
  <c r="D20" i="4" s="1"/>
  <c r="C12" i="4"/>
  <c r="D14" i="4"/>
  <c r="J12" i="4"/>
  <c r="J13" i="4" s="1"/>
  <c r="H14" i="4"/>
  <c r="H23" i="4" s="1"/>
  <c r="I12" i="4"/>
  <c r="I13" i="4" s="1"/>
  <c r="I14" i="4"/>
  <c r="I23" i="4" s="1"/>
  <c r="C5" i="3"/>
  <c r="D5" i="3"/>
  <c r="B5" i="3"/>
  <c r="E13" i="4"/>
  <c r="D13" i="4"/>
  <c r="H13" i="4"/>
  <c r="D23" i="4"/>
  <c r="C23" i="4"/>
  <c r="F23" i="4"/>
  <c r="G23" i="4"/>
  <c r="B20" i="4"/>
  <c r="B18" i="4"/>
  <c r="E23" i="4"/>
  <c r="F13" i="4"/>
  <c r="E8" i="4"/>
  <c r="G13" i="4"/>
  <c r="H8" i="4"/>
  <c r="D11" i="4"/>
  <c r="C13" i="4"/>
  <c r="N16" i="3"/>
  <c r="K7" i="1"/>
  <c r="K12" i="1" s="1"/>
  <c r="K21" i="1" s="1"/>
  <c r="M7" i="1"/>
  <c r="L12" i="1"/>
  <c r="M5" i="1"/>
  <c r="L5" i="1"/>
  <c r="K5" i="1"/>
  <c r="H12" i="1"/>
  <c r="H21" i="1" s="1"/>
  <c r="J7" i="1"/>
  <c r="J10" i="1" s="1"/>
  <c r="I7" i="1"/>
  <c r="I10" i="1" s="1"/>
  <c r="J5" i="1"/>
  <c r="I5" i="1"/>
  <c r="H5" i="1"/>
  <c r="H8" i="1" s="1"/>
  <c r="G7" i="1"/>
  <c r="G12" i="1" s="1"/>
  <c r="F7" i="1"/>
  <c r="F12" i="1" s="1"/>
  <c r="G5" i="1"/>
  <c r="F5" i="1"/>
  <c r="E12" i="1"/>
  <c r="E21" i="1" s="1"/>
  <c r="E5" i="1"/>
  <c r="E10" i="1" s="1"/>
  <c r="E11" i="1" s="1"/>
  <c r="C16" i="3"/>
  <c r="D16" i="3"/>
  <c r="B16" i="3"/>
  <c r="D7" i="1"/>
  <c r="C7" i="1"/>
  <c r="I8" i="4" l="1"/>
  <c r="J8" i="4"/>
  <c r="H5" i="3"/>
  <c r="I5" i="3"/>
  <c r="J5" i="3"/>
  <c r="C16" i="4"/>
  <c r="C11" i="4"/>
  <c r="F16" i="4"/>
  <c r="F11" i="4"/>
  <c r="J23" i="4"/>
  <c r="G16" i="4"/>
  <c r="G11" i="4"/>
  <c r="E16" i="4"/>
  <c r="E11" i="4"/>
  <c r="D21" i="4"/>
  <c r="D22" i="4" s="1"/>
  <c r="H11" i="4"/>
  <c r="H16" i="4"/>
  <c r="B21" i="4"/>
  <c r="B22" i="4" s="1"/>
  <c r="M8" i="1"/>
  <c r="M9" i="1" s="1"/>
  <c r="K8" i="1"/>
  <c r="K10" i="1"/>
  <c r="K11" i="1" s="1"/>
  <c r="M14" i="1"/>
  <c r="M12" i="1"/>
  <c r="M21" i="1" s="1"/>
  <c r="L21" i="1"/>
  <c r="L10" i="1"/>
  <c r="M10" i="1"/>
  <c r="L8" i="1"/>
  <c r="J8" i="1"/>
  <c r="I8" i="1"/>
  <c r="I12" i="1"/>
  <c r="I21" i="1" s="1"/>
  <c r="J12" i="1"/>
  <c r="J21" i="1" s="1"/>
  <c r="H9" i="1"/>
  <c r="H14" i="1"/>
  <c r="I11" i="1"/>
  <c r="J11" i="1"/>
  <c r="H10" i="1"/>
  <c r="H11" i="1" s="1"/>
  <c r="G10" i="1"/>
  <c r="G11" i="1" s="1"/>
  <c r="F10" i="1"/>
  <c r="F11" i="1" s="1"/>
  <c r="F21" i="1"/>
  <c r="G21" i="1"/>
  <c r="F8" i="1"/>
  <c r="G8" i="1"/>
  <c r="E8" i="1"/>
  <c r="E14" i="1" s="1"/>
  <c r="J16" i="4" l="1"/>
  <c r="J11" i="4"/>
  <c r="I11" i="4"/>
  <c r="I16" i="4"/>
  <c r="F17" i="4"/>
  <c r="F19" i="4"/>
  <c r="G19" i="4"/>
  <c r="G20" i="4" s="1"/>
  <c r="G17" i="4"/>
  <c r="G18" i="4" s="1"/>
  <c r="C19" i="4"/>
  <c r="C20" i="4" s="1"/>
  <c r="C17" i="4"/>
  <c r="C18" i="4" s="1"/>
  <c r="H19" i="4"/>
  <c r="H20" i="4" s="1"/>
  <c r="H17" i="4"/>
  <c r="H18" i="4" s="1"/>
  <c r="E18" i="4"/>
  <c r="E20" i="4"/>
  <c r="F20" i="4"/>
  <c r="F18" i="4"/>
  <c r="J9" i="1"/>
  <c r="J14" i="1"/>
  <c r="I9" i="1"/>
  <c r="I14" i="1"/>
  <c r="F9" i="1"/>
  <c r="F14" i="1"/>
  <c r="G9" i="1"/>
  <c r="G14" i="1"/>
  <c r="K9" i="1"/>
  <c r="K14" i="1"/>
  <c r="L9" i="1"/>
  <c r="L14" i="1"/>
  <c r="L11" i="1"/>
  <c r="M11" i="1"/>
  <c r="E9" i="1"/>
  <c r="J17" i="4" l="1"/>
  <c r="J18" i="4" s="1"/>
  <c r="J19" i="4"/>
  <c r="J20" i="4" s="1"/>
  <c r="I19" i="4"/>
  <c r="I20" i="4" s="1"/>
  <c r="I17" i="4"/>
  <c r="I18" i="4" s="1"/>
  <c r="I21" i="4" s="1"/>
  <c r="I22" i="4" s="1"/>
  <c r="H21" i="4"/>
  <c r="C21" i="4"/>
  <c r="C22" i="4" s="1"/>
  <c r="F21" i="4"/>
  <c r="F22" i="4" s="1"/>
  <c r="E21" i="4"/>
  <c r="E22" i="4" s="1"/>
  <c r="G21" i="4"/>
  <c r="G22" i="4" s="1"/>
  <c r="D5" i="1"/>
  <c r="D8" i="1" s="1"/>
  <c r="C5" i="1"/>
  <c r="C8" i="1" s="1"/>
  <c r="B5" i="1"/>
  <c r="B8" i="1" s="1"/>
  <c r="B14" i="1" s="1"/>
  <c r="D12" i="1"/>
  <c r="D21" i="1" s="1"/>
  <c r="C12" i="1"/>
  <c r="C21" i="1" s="1"/>
  <c r="B5" i="2"/>
  <c r="B12" i="1"/>
  <c r="B21" i="1" s="1"/>
  <c r="J21" i="4" l="1"/>
  <c r="J22" i="4" s="1"/>
  <c r="H22" i="4"/>
  <c r="I3" i="3"/>
  <c r="I4" i="3" s="1"/>
  <c r="H3" i="3"/>
  <c r="H4" i="3" s="1"/>
  <c r="J3" i="3"/>
  <c r="J4" i="3" s="1"/>
  <c r="C9" i="1"/>
  <c r="C14" i="1"/>
  <c r="I15" i="1"/>
  <c r="I16" i="1" s="1"/>
  <c r="J15" i="1"/>
  <c r="J16" i="1" s="1"/>
  <c r="H17" i="1"/>
  <c r="H18" i="1" s="1"/>
  <c r="H15" i="1"/>
  <c r="H16" i="1" s="1"/>
  <c r="H19" i="1" s="1"/>
  <c r="F17" i="1"/>
  <c r="F18" i="1" s="1"/>
  <c r="I17" i="1"/>
  <c r="I18" i="1" s="1"/>
  <c r="J17" i="1"/>
  <c r="J18" i="1" s="1"/>
  <c r="G17" i="1"/>
  <c r="G18" i="1" s="1"/>
  <c r="K15" i="1"/>
  <c r="K16" i="1" s="1"/>
  <c r="M15" i="1"/>
  <c r="M16" i="1" s="1"/>
  <c r="M17" i="1"/>
  <c r="M18" i="1" s="1"/>
  <c r="L15" i="1"/>
  <c r="L16" i="1" s="1"/>
  <c r="L17" i="1"/>
  <c r="L18" i="1" s="1"/>
  <c r="F15" i="1"/>
  <c r="F16" i="1" s="1"/>
  <c r="F19" i="1" s="1"/>
  <c r="F20" i="1" s="1"/>
  <c r="E15" i="1"/>
  <c r="E16" i="1" s="1"/>
  <c r="K17" i="1"/>
  <c r="K18" i="1" s="1"/>
  <c r="G15" i="1"/>
  <c r="G16" i="1" s="1"/>
  <c r="E17" i="1"/>
  <c r="E18" i="1" s="1"/>
  <c r="D9" i="1"/>
  <c r="D14" i="1"/>
  <c r="C10" i="1"/>
  <c r="B10" i="1"/>
  <c r="B11" i="1" s="1"/>
  <c r="D10" i="1"/>
  <c r="B9" i="1"/>
  <c r="M19" i="1" l="1"/>
  <c r="M20" i="1" s="1"/>
  <c r="H20" i="1"/>
  <c r="J19" i="1"/>
  <c r="J20" i="1" s="1"/>
  <c r="L19" i="1"/>
  <c r="I19" i="1"/>
  <c r="I20" i="1" s="1"/>
  <c r="K19" i="1"/>
  <c r="K20" i="1" s="1"/>
  <c r="G19" i="1"/>
  <c r="G20" i="1" s="1"/>
  <c r="E19" i="1"/>
  <c r="C11" i="1"/>
  <c r="D11" i="1"/>
  <c r="D15" i="1"/>
  <c r="D16" i="1" s="1"/>
  <c r="C15" i="1"/>
  <c r="C16" i="1" s="1"/>
  <c r="C17" i="1"/>
  <c r="C18" i="1" s="1"/>
  <c r="B15" i="1"/>
  <c r="B16" i="1" s="1"/>
  <c r="B17" i="1"/>
  <c r="B18" i="1" s="1"/>
  <c r="L20" i="1" l="1"/>
  <c r="E20" i="1"/>
  <c r="J14" i="3"/>
  <c r="J15" i="3" s="1"/>
  <c r="J13" i="3"/>
  <c r="H13" i="3"/>
  <c r="H14" i="3"/>
  <c r="H15" i="3" s="1"/>
  <c r="I14" i="3"/>
  <c r="I15" i="3" s="1"/>
  <c r="I13" i="3"/>
  <c r="D17" i="1"/>
  <c r="D18" i="1" s="1"/>
  <c r="D19" i="1" s="1"/>
  <c r="D20" i="1" s="1"/>
  <c r="C19" i="1"/>
  <c r="C20" i="1" s="1"/>
  <c r="B19" i="1"/>
  <c r="F14" i="3" l="1"/>
  <c r="F15" i="3" s="1"/>
  <c r="F13" i="3"/>
  <c r="G14" i="3"/>
  <c r="G15" i="3" s="1"/>
  <c r="G13" i="3"/>
  <c r="E14" i="3"/>
  <c r="E15" i="3" s="1"/>
  <c r="E13" i="3"/>
  <c r="B4" i="3"/>
  <c r="B14" i="3" s="1"/>
  <c r="B20" i="1"/>
  <c r="D13" i="3" l="1"/>
  <c r="D14" i="3"/>
  <c r="D15" i="3" s="1"/>
  <c r="C13" i="3"/>
  <c r="C14" i="3"/>
  <c r="C15" i="3" s="1"/>
  <c r="B13" i="3"/>
  <c r="B15" i="3"/>
  <c r="L12" i="4" l="1"/>
  <c r="L13" i="4" s="1"/>
  <c r="L11" i="4"/>
  <c r="L8" i="4"/>
  <c r="L16" i="4"/>
  <c r="L10" i="4"/>
  <c r="L17" i="4" s="1"/>
  <c r="L18" i="4" s="1"/>
  <c r="M7" i="4"/>
  <c r="K7" i="4"/>
  <c r="K10" i="4"/>
  <c r="K12" i="4" s="1"/>
  <c r="K13" i="4" s="1"/>
  <c r="L19" i="4" l="1"/>
  <c r="L20" i="4" s="1"/>
  <c r="L21" i="4" s="1"/>
  <c r="L14" i="4"/>
  <c r="L23" i="4" s="1"/>
  <c r="K8" i="4"/>
  <c r="K11" i="4" s="1"/>
  <c r="M8" i="4"/>
  <c r="M16" i="4" s="1"/>
  <c r="K16" i="4"/>
  <c r="M11" i="4"/>
  <c r="L5" i="3"/>
  <c r="K5" i="3"/>
  <c r="M5" i="3"/>
  <c r="N5" i="3"/>
  <c r="K14" i="4"/>
  <c r="M10" i="4"/>
  <c r="K3" i="3" l="1"/>
  <c r="K4" i="3" s="1"/>
  <c r="N3" i="3"/>
  <c r="N4" i="3" s="1"/>
  <c r="L3" i="3"/>
  <c r="L4" i="3" s="1"/>
  <c r="M3" i="3"/>
  <c r="M4" i="3" s="1"/>
  <c r="L22" i="4"/>
  <c r="M19" i="4"/>
  <c r="M20" i="4" s="1"/>
  <c r="M17" i="4"/>
  <c r="M18" i="4" s="1"/>
  <c r="K23" i="4"/>
  <c r="N13" i="3"/>
  <c r="N14" i="3"/>
  <c r="N15" i="3" s="1"/>
  <c r="M12" i="4"/>
  <c r="M13" i="4" s="1"/>
  <c r="M14" i="4"/>
  <c r="K19" i="4"/>
  <c r="K20" i="4" s="1"/>
  <c r="K17" i="4"/>
  <c r="K18" i="4" s="1"/>
  <c r="M13" i="3"/>
  <c r="M14" i="3"/>
  <c r="M15" i="3" s="1"/>
  <c r="K14" i="3"/>
  <c r="K15" i="3" s="1"/>
  <c r="K13" i="3"/>
  <c r="L14" i="3"/>
  <c r="L15" i="3" s="1"/>
  <c r="L13" i="3"/>
  <c r="M21" i="4" l="1"/>
  <c r="M22" i="4" s="1"/>
  <c r="K21" i="4"/>
  <c r="K22" i="4" s="1"/>
  <c r="M23" i="4"/>
</calcChain>
</file>

<file path=xl/sharedStrings.xml><?xml version="1.0" encoding="utf-8"?>
<sst xmlns="http://schemas.openxmlformats.org/spreadsheetml/2006/main" count="100" uniqueCount="53">
  <si>
    <t>Name</t>
  </si>
  <si>
    <t>LaWS (SEQ-3)</t>
  </si>
  <si>
    <t>Mirror Diameter (m)</t>
  </si>
  <si>
    <t>Beam Quality</t>
  </si>
  <si>
    <t>Wavelength (nm)</t>
  </si>
  <si>
    <t>Range (m)</t>
  </si>
  <si>
    <t>Vacuum Spot Size (cm)</t>
  </si>
  <si>
    <t>Output Power (kW)</t>
  </si>
  <si>
    <t>Turbulence Strength</t>
  </si>
  <si>
    <t>Turbulence Spot Size</t>
  </si>
  <si>
    <t>Aerosol Scattering Attenuation</t>
  </si>
  <si>
    <t>Aerosol Scattering, 1045</t>
  </si>
  <si>
    <t>Aerosol Scattering, 1625</t>
  </si>
  <si>
    <t>Aerosol Scattering, 2141</t>
  </si>
  <si>
    <t>Wind/Slew Velocity (m/s)</t>
  </si>
  <si>
    <t>GamTB</t>
  </si>
  <si>
    <t>Average Intensity (kW/m2)</t>
  </si>
  <si>
    <t>Vapor Absorption, 1045</t>
  </si>
  <si>
    <t>Vapor Absorption, 1625</t>
  </si>
  <si>
    <t>Vapor Absorption, 2141</t>
  </si>
  <si>
    <t>Water Vapor Blooming Spot Size (cm)</t>
  </si>
  <si>
    <t>Aerosol Blooming Spot Size (cm)</t>
  </si>
  <si>
    <t>Aersol Absorption, 1045</t>
  </si>
  <si>
    <t>Aersol Absorption, 1625</t>
  </si>
  <si>
    <t>Aersol Absorption, 2141</t>
  </si>
  <si>
    <t>Spot Intensity (kW/m2)</t>
  </si>
  <si>
    <t>Estimated Spot Size (cm)</t>
  </si>
  <si>
    <t>Target Power (kW)</t>
  </si>
  <si>
    <t>Incident Power (kW)</t>
  </si>
  <si>
    <t>Beam Diameter (cm)</t>
  </si>
  <si>
    <t>Absorptivity</t>
  </si>
  <si>
    <t>Density (kg/m3)</t>
  </si>
  <si>
    <t>Initial Temperature (K)</t>
  </si>
  <si>
    <t>Melting Temperature (K)</t>
  </si>
  <si>
    <t>Heat of Fusion (kJ/kg)</t>
  </si>
  <si>
    <t>Heat Capacity (kJ/(kg*K))</t>
  </si>
  <si>
    <t>Melt Velocity (mm/s)</t>
  </si>
  <si>
    <t>Material</t>
  </si>
  <si>
    <t>Aluminum</t>
  </si>
  <si>
    <t>HDPE</t>
  </si>
  <si>
    <t>Thermal Conductivity (W/(m*K))</t>
  </si>
  <si>
    <t>Steel</t>
  </si>
  <si>
    <t>Melting? (1 sec)</t>
  </si>
  <si>
    <t>SEQ-3</t>
  </si>
  <si>
    <t>HELIOS 60 kW</t>
  </si>
  <si>
    <t>HELIOS 150 kW</t>
  </si>
  <si>
    <t>500 kW</t>
  </si>
  <si>
    <t>Graphite</t>
  </si>
  <si>
    <t>Melt Threshold (W/m2)</t>
  </si>
  <si>
    <t>Altitude (m)</t>
  </si>
  <si>
    <t>Scale height</t>
  </si>
  <si>
    <t>Effective Atmosphere Range (m)</t>
  </si>
  <si>
    <t>Slant Range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</si>
</sst>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2" borderId="2" xfId="0" applyFill="1" applyBorder="1"/>
    <xf numFmtId="0" fontId="0" fillId="3" borderId="2" xfId="0" applyFill="1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2" borderId="6" xfId="0" applyFill="1" applyBorder="1"/>
    <xf numFmtId="0" fontId="0" fillId="3" borderId="6" xfId="0" applyFill="1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12" xfId="0" applyBorder="1"/>
    <xf numFmtId="0" fontId="0" fillId="0" borderId="13" xfId="0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L9" sqref="L9"/>
    </sheetView>
  </sheetViews>
  <sheetFormatPr defaultRowHeight="15" x14ac:dyDescent="0.25"/>
  <cols>
    <col min="1" max="1" width="31.7109375" bestFit="1" customWidth="1"/>
    <col min="2" max="4" width="12" customWidth="1"/>
    <col min="5" max="7" width="12.42578125" bestFit="1" customWidth="1"/>
    <col min="8" max="10" width="13.5703125" bestFit="1" customWidth="1"/>
  </cols>
  <sheetData>
    <row r="1" spans="1:13" x14ac:dyDescent="0.25">
      <c r="A1" t="s">
        <v>0</v>
      </c>
      <c r="B1" t="s">
        <v>1</v>
      </c>
      <c r="C1" t="s">
        <v>1</v>
      </c>
      <c r="D1" t="s">
        <v>1</v>
      </c>
      <c r="E1" t="s">
        <v>44</v>
      </c>
      <c r="F1" t="s">
        <v>44</v>
      </c>
      <c r="G1" t="s">
        <v>44</v>
      </c>
      <c r="H1" t="s">
        <v>45</v>
      </c>
      <c r="I1" t="s">
        <v>45</v>
      </c>
      <c r="J1" t="s">
        <v>45</v>
      </c>
      <c r="K1" t="s">
        <v>46</v>
      </c>
      <c r="L1" t="s">
        <v>46</v>
      </c>
      <c r="M1" t="s">
        <v>46</v>
      </c>
    </row>
    <row r="2" spans="1:13" x14ac:dyDescent="0.25">
      <c r="A2" t="s">
        <v>7</v>
      </c>
      <c r="B2" s="2">
        <v>33</v>
      </c>
      <c r="C2" s="2">
        <v>33</v>
      </c>
      <c r="D2" s="2">
        <v>33</v>
      </c>
      <c r="E2" s="2">
        <v>60</v>
      </c>
      <c r="F2" s="2">
        <v>60</v>
      </c>
      <c r="G2" s="2">
        <v>60</v>
      </c>
      <c r="H2" s="2">
        <v>150</v>
      </c>
      <c r="I2" s="2">
        <v>150</v>
      </c>
      <c r="J2" s="2">
        <v>150</v>
      </c>
      <c r="K2" s="2">
        <v>500</v>
      </c>
      <c r="L2" s="2">
        <v>500</v>
      </c>
      <c r="M2" s="2">
        <v>500</v>
      </c>
    </row>
    <row r="3" spans="1:13" x14ac:dyDescent="0.25">
      <c r="A3" t="s">
        <v>2</v>
      </c>
      <c r="B3" s="2">
        <v>0.4</v>
      </c>
      <c r="C3" s="2">
        <v>0.4</v>
      </c>
      <c r="D3" s="2">
        <v>0.4</v>
      </c>
      <c r="E3" s="2">
        <v>0.6</v>
      </c>
      <c r="F3" s="2">
        <v>0.6</v>
      </c>
      <c r="G3" s="2">
        <v>0.6</v>
      </c>
      <c r="H3" s="2">
        <v>0.6</v>
      </c>
      <c r="I3" s="2">
        <v>0.6</v>
      </c>
      <c r="J3" s="2">
        <v>0.6</v>
      </c>
      <c r="K3" s="2">
        <v>1</v>
      </c>
      <c r="L3" s="2">
        <v>1</v>
      </c>
      <c r="M3" s="2">
        <v>1</v>
      </c>
    </row>
    <row r="4" spans="1:13" x14ac:dyDescent="0.25">
      <c r="A4" t="s">
        <v>4</v>
      </c>
      <c r="B4" s="3">
        <v>1045</v>
      </c>
      <c r="C4" s="3">
        <v>1625</v>
      </c>
      <c r="D4" s="3">
        <v>2141</v>
      </c>
      <c r="E4" s="3">
        <v>1045</v>
      </c>
      <c r="F4" s="3">
        <v>1625</v>
      </c>
      <c r="G4" s="3">
        <v>2141</v>
      </c>
      <c r="H4" s="3">
        <v>1045</v>
      </c>
      <c r="I4" s="3">
        <v>1625</v>
      </c>
      <c r="J4" s="3">
        <v>2141</v>
      </c>
      <c r="K4" s="3">
        <v>1045</v>
      </c>
      <c r="L4" s="3">
        <v>1625</v>
      </c>
      <c r="M4" s="3">
        <v>2141</v>
      </c>
    </row>
    <row r="5" spans="1:13" ht="0.6" customHeight="1" x14ac:dyDescent="0.25">
      <c r="B5" s="3">
        <f t="shared" ref="B5:M5" si="0">B4*0.000000001</f>
        <v>1.0450000000000002E-6</v>
      </c>
      <c r="C5" s="3">
        <f t="shared" si="0"/>
        <v>1.6250000000000001E-6</v>
      </c>
      <c r="D5" s="3">
        <f t="shared" si="0"/>
        <v>2.1410000000000003E-6</v>
      </c>
      <c r="E5" s="3">
        <f t="shared" si="0"/>
        <v>1.0450000000000002E-6</v>
      </c>
      <c r="F5" s="3">
        <f t="shared" si="0"/>
        <v>1.6250000000000001E-6</v>
      </c>
      <c r="G5" s="3">
        <f t="shared" si="0"/>
        <v>2.1410000000000003E-6</v>
      </c>
      <c r="H5" s="3">
        <f t="shared" si="0"/>
        <v>1.0450000000000002E-6</v>
      </c>
      <c r="I5" s="3">
        <f t="shared" si="0"/>
        <v>1.6250000000000001E-6</v>
      </c>
      <c r="J5" s="3">
        <f t="shared" si="0"/>
        <v>2.1410000000000003E-6</v>
      </c>
      <c r="K5" s="3">
        <f t="shared" si="0"/>
        <v>1.0450000000000002E-6</v>
      </c>
      <c r="L5" s="3">
        <f t="shared" si="0"/>
        <v>1.6250000000000001E-6</v>
      </c>
      <c r="M5" s="3">
        <f t="shared" si="0"/>
        <v>2.1410000000000003E-6</v>
      </c>
    </row>
    <row r="6" spans="1:13" x14ac:dyDescent="0.25">
      <c r="A6" t="s">
        <v>3</v>
      </c>
      <c r="B6" s="2">
        <v>3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</row>
    <row r="7" spans="1:13" x14ac:dyDescent="0.25">
      <c r="A7" t="s">
        <v>5</v>
      </c>
      <c r="B7" s="2">
        <v>1000</v>
      </c>
      <c r="C7" s="2">
        <f>B7</f>
        <v>1000</v>
      </c>
      <c r="D7" s="2">
        <f>B7</f>
        <v>1000</v>
      </c>
      <c r="E7" s="2">
        <v>1000</v>
      </c>
      <c r="F7" s="2">
        <f>E7</f>
        <v>1000</v>
      </c>
      <c r="G7" s="2">
        <f>E7</f>
        <v>1000</v>
      </c>
      <c r="H7" s="2">
        <v>1000</v>
      </c>
      <c r="I7" s="2">
        <f>H7</f>
        <v>1000</v>
      </c>
      <c r="J7" s="2">
        <f>H7</f>
        <v>1000</v>
      </c>
      <c r="K7" s="2">
        <f>L7</f>
        <v>1000</v>
      </c>
      <c r="L7" s="2">
        <v>1000</v>
      </c>
      <c r="M7" s="2">
        <f>L7</f>
        <v>1000</v>
      </c>
    </row>
    <row r="8" spans="1:13" ht="9.6" hidden="1" customHeight="1" x14ac:dyDescent="0.25">
      <c r="B8" s="2">
        <f t="shared" ref="B8:M8" si="1">(1.22*B7*B5*B6)/B3</f>
        <v>9.5617500000000008E-3</v>
      </c>
      <c r="C8" s="2">
        <f t="shared" si="1"/>
        <v>1.4868750000000003E-2</v>
      </c>
      <c r="D8" s="2">
        <f t="shared" si="1"/>
        <v>1.9590150000000004E-2</v>
      </c>
      <c r="E8" s="2">
        <f t="shared" si="1"/>
        <v>6.3745000000000017E-3</v>
      </c>
      <c r="F8" s="2">
        <f t="shared" si="1"/>
        <v>9.9125000000000029E-3</v>
      </c>
      <c r="G8" s="2">
        <f t="shared" si="1"/>
        <v>1.3060100000000005E-2</v>
      </c>
      <c r="H8" s="2">
        <f t="shared" si="1"/>
        <v>6.3745000000000017E-3</v>
      </c>
      <c r="I8" s="2">
        <f t="shared" si="1"/>
        <v>9.9125000000000029E-3</v>
      </c>
      <c r="J8" s="2">
        <f t="shared" si="1"/>
        <v>1.3060100000000005E-2</v>
      </c>
      <c r="K8" s="2">
        <f t="shared" si="1"/>
        <v>3.8247000000000008E-3</v>
      </c>
      <c r="L8" s="2">
        <f t="shared" si="1"/>
        <v>5.9475000000000014E-3</v>
      </c>
      <c r="M8" s="2">
        <f t="shared" si="1"/>
        <v>7.8360600000000023E-3</v>
      </c>
    </row>
    <row r="9" spans="1:13" ht="14.45" customHeight="1" x14ac:dyDescent="0.25">
      <c r="A9" t="s">
        <v>6</v>
      </c>
      <c r="B9" s="3">
        <f t="shared" ref="B9:M9" si="2">100*B8</f>
        <v>0.95617500000000011</v>
      </c>
      <c r="C9" s="3">
        <f t="shared" si="2"/>
        <v>1.4868750000000004</v>
      </c>
      <c r="D9" s="3">
        <f t="shared" si="2"/>
        <v>1.9590150000000004</v>
      </c>
      <c r="E9" s="3">
        <f t="shared" si="2"/>
        <v>0.63745000000000018</v>
      </c>
      <c r="F9" s="3">
        <f t="shared" si="2"/>
        <v>0.9912500000000003</v>
      </c>
      <c r="G9" s="3">
        <f t="shared" si="2"/>
        <v>1.3060100000000006</v>
      </c>
      <c r="H9" s="3">
        <f t="shared" si="2"/>
        <v>0.63745000000000018</v>
      </c>
      <c r="I9" s="3">
        <f t="shared" si="2"/>
        <v>0.9912500000000003</v>
      </c>
      <c r="J9" s="3">
        <f t="shared" si="2"/>
        <v>1.3060100000000006</v>
      </c>
      <c r="K9" s="3">
        <f t="shared" si="2"/>
        <v>0.38247000000000009</v>
      </c>
      <c r="L9" s="3">
        <f t="shared" si="2"/>
        <v>0.59475000000000011</v>
      </c>
      <c r="M9" s="3">
        <f t="shared" si="2"/>
        <v>0.78360600000000025</v>
      </c>
    </row>
    <row r="10" spans="1:13" ht="9.6" hidden="1" customHeight="1" x14ac:dyDescent="0.25">
      <c r="B10" s="3">
        <f t="shared" ref="B10:M10" si="3">2*((TurbulenceCoeff*B7)/(B5^(1/3)))^(3/5)*B7*0.25</f>
        <v>1.9730893219270921E-3</v>
      </c>
      <c r="C10" s="3">
        <f t="shared" si="3"/>
        <v>1.8063393017652592E-3</v>
      </c>
      <c r="D10" s="3">
        <f t="shared" si="3"/>
        <v>1.709411695011546E-3</v>
      </c>
      <c r="E10" s="3">
        <f t="shared" si="3"/>
        <v>1.9730893219270921E-3</v>
      </c>
      <c r="F10" s="3">
        <f t="shared" si="3"/>
        <v>1.8063393017652592E-3</v>
      </c>
      <c r="G10" s="3">
        <f t="shared" si="3"/>
        <v>1.709411695011546E-3</v>
      </c>
      <c r="H10" s="3">
        <f t="shared" si="3"/>
        <v>1.9730893219270921E-3</v>
      </c>
      <c r="I10" s="3">
        <f t="shared" si="3"/>
        <v>1.8063393017652592E-3</v>
      </c>
      <c r="J10" s="3">
        <f t="shared" si="3"/>
        <v>1.709411695011546E-3</v>
      </c>
      <c r="K10" s="3">
        <f t="shared" si="3"/>
        <v>1.9730893219270921E-3</v>
      </c>
      <c r="L10" s="3">
        <f t="shared" si="3"/>
        <v>1.8063393017652592E-3</v>
      </c>
      <c r="M10" s="3">
        <f t="shared" si="3"/>
        <v>1.709411695011546E-3</v>
      </c>
    </row>
    <row r="11" spans="1:13" x14ac:dyDescent="0.25">
      <c r="A11" t="s">
        <v>9</v>
      </c>
      <c r="B11" s="3">
        <f t="shared" ref="B11:M11" si="4">100*B10</f>
        <v>0.1973089321927092</v>
      </c>
      <c r="C11" s="3">
        <f t="shared" si="4"/>
        <v>0.1806339301765259</v>
      </c>
      <c r="D11" s="3">
        <f t="shared" si="4"/>
        <v>0.17094116950115459</v>
      </c>
      <c r="E11" s="3">
        <f t="shared" si="4"/>
        <v>0.1973089321927092</v>
      </c>
      <c r="F11" s="3">
        <f t="shared" si="4"/>
        <v>0.1806339301765259</v>
      </c>
      <c r="G11" s="3">
        <f t="shared" si="4"/>
        <v>0.17094116950115459</v>
      </c>
      <c r="H11" s="3">
        <f t="shared" si="4"/>
        <v>0.1973089321927092</v>
      </c>
      <c r="I11" s="3">
        <f t="shared" si="4"/>
        <v>0.1806339301765259</v>
      </c>
      <c r="J11" s="3">
        <f t="shared" si="4"/>
        <v>0.17094116950115459</v>
      </c>
      <c r="K11" s="3">
        <f t="shared" si="4"/>
        <v>0.1973089321927092</v>
      </c>
      <c r="L11" s="3">
        <f t="shared" si="4"/>
        <v>0.1806339301765259</v>
      </c>
      <c r="M11" s="3">
        <f t="shared" si="4"/>
        <v>0.17094116950115459</v>
      </c>
    </row>
    <row r="12" spans="1:13" x14ac:dyDescent="0.25">
      <c r="A12" t="s">
        <v>10</v>
      </c>
      <c r="B12" s="3">
        <f>EXP(-Aerosol1045*B7)</f>
        <v>0.88692043671715748</v>
      </c>
      <c r="C12" s="3">
        <f>EXP(-Aerosol1625*C7)</f>
        <v>0.93239381990594827</v>
      </c>
      <c r="D12" s="3">
        <f>EXP(-Aerosol2141*D7)</f>
        <v>0.95122942450071402</v>
      </c>
      <c r="E12" s="3">
        <f>EXP(-Aerosol1045*E7)</f>
        <v>0.88692043671715748</v>
      </c>
      <c r="F12" s="3">
        <f>EXP(-Aerosol1625*F7)</f>
        <v>0.93239381990594827</v>
      </c>
      <c r="G12" s="3">
        <f>EXP(-Aerosol2141*G7)</f>
        <v>0.95122942450071402</v>
      </c>
      <c r="H12" s="3">
        <f>EXP(-Aerosol1045*H7)</f>
        <v>0.88692043671715748</v>
      </c>
      <c r="I12" s="3">
        <f>EXP(-Aerosol1625*I7)</f>
        <v>0.93239381990594827</v>
      </c>
      <c r="J12" s="3">
        <f>EXP(-Aerosol2141*J7)</f>
        <v>0.95122942450071402</v>
      </c>
      <c r="K12" s="3">
        <f>EXP(-Aerosol1045*K7)</f>
        <v>0.88692043671715748</v>
      </c>
      <c r="L12" s="3">
        <f>EXP(-Aerosol1625*L7)</f>
        <v>0.93239381990594827</v>
      </c>
      <c r="M12" s="3">
        <f>EXP(-Aerosol2141*M7)</f>
        <v>0.95122942450071402</v>
      </c>
    </row>
    <row r="13" spans="1:13" x14ac:dyDescent="0.25">
      <c r="A13" t="s">
        <v>14</v>
      </c>
      <c r="B13" s="2">
        <v>5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2">
        <v>5</v>
      </c>
    </row>
    <row r="14" spans="1:13" ht="13.9" customHeight="1" x14ac:dyDescent="0.25">
      <c r="A14" t="s">
        <v>16</v>
      </c>
      <c r="B14" s="3">
        <f t="shared" ref="B14:G14" si="5">B2/((B3^2+B8^2)*PI()*0.125)</f>
        <v>524.91136779871727</v>
      </c>
      <c r="C14" s="3">
        <f t="shared" si="5"/>
        <v>524.48660373488337</v>
      </c>
      <c r="D14" s="3">
        <f t="shared" si="5"/>
        <v>523.9545614169167</v>
      </c>
      <c r="E14" s="3">
        <f t="shared" si="5"/>
        <v>424.36528223095536</v>
      </c>
      <c r="F14" s="3">
        <f t="shared" si="5"/>
        <v>424.29737472951547</v>
      </c>
      <c r="G14" s="3">
        <f t="shared" si="5"/>
        <v>424.21219194875101</v>
      </c>
      <c r="H14" s="3">
        <f>H2/((H3^2+H8^2)*PI()*0.125)</f>
        <v>1060.9132055773885</v>
      </c>
      <c r="I14" s="3">
        <f t="shared" ref="I14:M14" si="6">I2/((I3^2+I8^2)*PI()*0.125)</f>
        <v>1060.7434368237887</v>
      </c>
      <c r="J14" s="3">
        <f t="shared" si="6"/>
        <v>1060.5304798718776</v>
      </c>
      <c r="K14" s="3">
        <f t="shared" si="6"/>
        <v>1273.220919639273</v>
      </c>
      <c r="L14" s="3">
        <f t="shared" si="6"/>
        <v>1273.1945083361604</v>
      </c>
      <c r="M14" s="3">
        <f t="shared" si="6"/>
        <v>1273.1613677429243</v>
      </c>
    </row>
    <row r="15" spans="1:13" hidden="1" x14ac:dyDescent="0.25">
      <c r="B15" s="3">
        <f>GamTB*Vapor1045*B14*(B7^2/B13)/1000000</f>
        <v>2.3621011550942272E-6</v>
      </c>
      <c r="C15" s="3">
        <f>GamTB*Vapor1625*C14*(C7^2/C13)/1000000</f>
        <v>1.5734598112046501E-4</v>
      </c>
      <c r="D15" s="3">
        <f>GamTB*Vapor2141*D14*(D7^2/D13)/1000000</f>
        <v>2.3577955263761252E-4</v>
      </c>
      <c r="E15" s="3">
        <f>GamTB*Vapor1045*E14*(E7^2/E13)/1000000</f>
        <v>1.9096437700392986E-6</v>
      </c>
      <c r="F15" s="3">
        <f>GamTB*Vapor1625*F14*(F7^2/F13)/1000000</f>
        <v>1.2728921241885464E-4</v>
      </c>
      <c r="G15" s="3">
        <f>GamTB*Vapor2141*G14*(G7^2/G13)/1000000</f>
        <v>1.9089548637693795E-4</v>
      </c>
      <c r="H15" s="3">
        <f>GamTB*Vapor1045*H14*(H7^2/H13)/1000000</f>
        <v>4.7741094250982477E-6</v>
      </c>
      <c r="I15" s="3">
        <f>GamTB*Vapor1625*I14*(I7^2/I13)/1000000</f>
        <v>3.1822303104713661E-4</v>
      </c>
      <c r="J15" s="3">
        <f>GamTB*Vapor2141*J14*(J7^2/J13)/1000000</f>
        <v>4.7723871594234485E-4</v>
      </c>
      <c r="K15" s="3">
        <f>GamTB*Vapor1045*K14*(K7^2/K13)/1000000</f>
        <v>5.7294941383767277E-6</v>
      </c>
      <c r="L15" s="3">
        <f>GamTB*Vapor1625*L14*(L7^2/L13)/1000000</f>
        <v>3.8195835250084818E-4</v>
      </c>
      <c r="M15" s="3">
        <f>GamTB*Vapor2141*M14*(M7^2/M13)/1000000</f>
        <v>5.7292261548431598E-4</v>
      </c>
    </row>
    <row r="16" spans="1:13" x14ac:dyDescent="0.25">
      <c r="A16" t="s">
        <v>20</v>
      </c>
      <c r="B16" s="3">
        <f t="shared" ref="B16:M16" si="7">B15*100</f>
        <v>2.3621011550942271E-4</v>
      </c>
      <c r="C16" s="3">
        <f t="shared" si="7"/>
        <v>1.5734598112046503E-2</v>
      </c>
      <c r="D16" s="3">
        <f t="shared" si="7"/>
        <v>2.3577955263761254E-2</v>
      </c>
      <c r="E16" s="3">
        <f t="shared" si="7"/>
        <v>1.9096437700392985E-4</v>
      </c>
      <c r="F16" s="3">
        <f t="shared" si="7"/>
        <v>1.2728921241885464E-2</v>
      </c>
      <c r="G16" s="3">
        <f t="shared" si="7"/>
        <v>1.9089548637693795E-2</v>
      </c>
      <c r="H16" s="3">
        <f t="shared" si="7"/>
        <v>4.774109425098248E-4</v>
      </c>
      <c r="I16" s="3">
        <f t="shared" si="7"/>
        <v>3.1822303104713665E-2</v>
      </c>
      <c r="J16" s="3">
        <f t="shared" si="7"/>
        <v>4.7723871594234482E-2</v>
      </c>
      <c r="K16" s="3">
        <f t="shared" si="7"/>
        <v>5.729494138376728E-4</v>
      </c>
      <c r="L16" s="3">
        <f t="shared" si="7"/>
        <v>3.8195835250084818E-2</v>
      </c>
      <c r="M16" s="3">
        <f t="shared" si="7"/>
        <v>5.7292261548431596E-2</v>
      </c>
    </row>
    <row r="17" spans="1:13" hidden="1" x14ac:dyDescent="0.25">
      <c r="B17" s="3">
        <f>(AerosolAb1045/(1+2.2))*GamTB*B14*(B7^2/B13)/1000000</f>
        <v>4.9210440731129738E-5</v>
      </c>
      <c r="C17" s="3">
        <f>(AerosolAb1625/(1+2.2))*GamTB*C14*(C7^2/C13)/1000000</f>
        <v>4.9170619100145307E-5</v>
      </c>
      <c r="D17" s="3">
        <f>(AerosolAb2141/(1+2.2))*GamTB*D14*(D7^2/D13)/1000000</f>
        <v>7.3681110199253925E-5</v>
      </c>
      <c r="E17" s="3">
        <f>(AerosolAb1045/(1+2.2))*GamTB*E14*(E7^2/E13)/1000000</f>
        <v>3.978424520915206E-5</v>
      </c>
      <c r="F17" s="3">
        <f>(AerosolAb1625/(1+2.2))*GamTB*F14*(F7^2/F13)/1000000</f>
        <v>3.9777878880892077E-5</v>
      </c>
      <c r="G17" s="3">
        <f>(AerosolAb2141/(1+2.2))*GamTB*G14*(G7^2/G13)/1000000</f>
        <v>5.965483949279312E-5</v>
      </c>
      <c r="H17" s="3">
        <f>(AerosolAb1045/(1+2.2))*GamTB*H14*(H7^2/H13)/1000000</f>
        <v>9.9460613022880152E-5</v>
      </c>
      <c r="I17" s="3">
        <f>(AerosolAb1625/(1+2.2))*GamTB*I14*(I7^2/I13)/1000000</f>
        <v>9.9444697202230172E-5</v>
      </c>
      <c r="J17" s="3">
        <f>(AerosolAb2141/(1+2.2))*GamTB*J14*(J7^2/J13)/1000000</f>
        <v>1.491370987319828E-4</v>
      </c>
      <c r="K17" s="3">
        <f>(AerosolAb1045/(1+2.2))*GamTB*K14*(K7^2/K13)/1000000</f>
        <v>1.1936446121618184E-4</v>
      </c>
      <c r="L17" s="3">
        <f>(AerosolAb1625/(1+2.2))*GamTB*L14*(L7^2/L13)/1000000</f>
        <v>1.1936198515651504E-4</v>
      </c>
      <c r="M17" s="3">
        <f>(AerosolAb2141/(1+2.2))*GamTB*M14*(M7^2/M13)/1000000</f>
        <v>1.7903831733884874E-4</v>
      </c>
    </row>
    <row r="18" spans="1:13" x14ac:dyDescent="0.25">
      <c r="A18" t="s">
        <v>21</v>
      </c>
      <c r="B18" s="3">
        <f t="shared" ref="B18:M18" si="8">B17*100</f>
        <v>4.9210440731129734E-3</v>
      </c>
      <c r="C18" s="3">
        <f t="shared" si="8"/>
        <v>4.9170619100145311E-3</v>
      </c>
      <c r="D18" s="3">
        <f t="shared" si="8"/>
        <v>7.3681110199253922E-3</v>
      </c>
      <c r="E18" s="3">
        <f t="shared" si="8"/>
        <v>3.9784245209152063E-3</v>
      </c>
      <c r="F18" s="3">
        <f t="shared" si="8"/>
        <v>3.9777878880892081E-3</v>
      </c>
      <c r="G18" s="3">
        <f t="shared" si="8"/>
        <v>5.965483949279312E-3</v>
      </c>
      <c r="H18" s="3">
        <f t="shared" si="8"/>
        <v>9.9460613022880149E-3</v>
      </c>
      <c r="I18" s="3">
        <f t="shared" si="8"/>
        <v>9.9444697202230176E-3</v>
      </c>
      <c r="J18" s="3">
        <f t="shared" si="8"/>
        <v>1.491370987319828E-2</v>
      </c>
      <c r="K18" s="3">
        <f t="shared" si="8"/>
        <v>1.1936446121618184E-2</v>
      </c>
      <c r="L18" s="3">
        <f t="shared" si="8"/>
        <v>1.1936198515651504E-2</v>
      </c>
      <c r="M18" s="3">
        <f t="shared" si="8"/>
        <v>1.7903831733884875E-2</v>
      </c>
    </row>
    <row r="19" spans="1:13" x14ac:dyDescent="0.25">
      <c r="A19" t="s">
        <v>26</v>
      </c>
      <c r="B19" s="3">
        <f t="shared" ref="B19:M19" si="9">SQRT(B9^2+B11^2+B16^2+B18^2)</f>
        <v>0.97633279050640076</v>
      </c>
      <c r="C19" s="3">
        <f t="shared" si="9"/>
        <v>1.4978977393105291</v>
      </c>
      <c r="D19" s="3">
        <f t="shared" si="9"/>
        <v>1.9666140604322564</v>
      </c>
      <c r="E19" s="3">
        <f t="shared" si="9"/>
        <v>0.66729991874125782</v>
      </c>
      <c r="F19" s="3">
        <f t="shared" si="9"/>
        <v>1.0076621593884945</v>
      </c>
      <c r="G19" s="3">
        <f t="shared" si="9"/>
        <v>1.317301408712662</v>
      </c>
      <c r="H19" s="3">
        <f t="shared" si="9"/>
        <v>0.66736232234046922</v>
      </c>
      <c r="I19" s="3">
        <f t="shared" si="9"/>
        <v>1.0081253546478848</v>
      </c>
      <c r="J19" s="3">
        <f t="shared" si="9"/>
        <v>1.318098247549305</v>
      </c>
      <c r="K19" s="3">
        <f t="shared" si="9"/>
        <v>0.43053097756151337</v>
      </c>
      <c r="L19" s="3">
        <f t="shared" si="9"/>
        <v>0.62286240366269885</v>
      </c>
      <c r="M19" s="3">
        <f t="shared" si="9"/>
        <v>0.80427743788478356</v>
      </c>
    </row>
    <row r="20" spans="1:13" x14ac:dyDescent="0.25">
      <c r="A20" t="s">
        <v>25</v>
      </c>
      <c r="B20" s="3">
        <f t="shared" ref="B20:M20" si="10">(B2*B12)/((B19*0.01)^2*0.25*PI())</f>
        <v>390942.57545160677</v>
      </c>
      <c r="C20" s="3">
        <f t="shared" si="10"/>
        <v>174605.98022595665</v>
      </c>
      <c r="D20" s="3">
        <f t="shared" si="10"/>
        <v>103340.61807486134</v>
      </c>
      <c r="E20" s="3">
        <f t="shared" si="10"/>
        <v>1521611.8691129249</v>
      </c>
      <c r="F20" s="3">
        <f t="shared" si="10"/>
        <v>701505.13687621558</v>
      </c>
      <c r="G20" s="3">
        <f t="shared" si="10"/>
        <v>418770.74289855413</v>
      </c>
      <c r="H20" s="3">
        <f t="shared" si="10"/>
        <v>3803318.2929622121</v>
      </c>
      <c r="I20" s="3">
        <f t="shared" si="10"/>
        <v>1752151.6377655771</v>
      </c>
      <c r="J20" s="3">
        <f t="shared" si="10"/>
        <v>1045661.4283322924</v>
      </c>
      <c r="K20" s="3">
        <f t="shared" si="10"/>
        <v>30461828.913044598</v>
      </c>
      <c r="L20" s="3">
        <f t="shared" si="10"/>
        <v>15300135.409751259</v>
      </c>
      <c r="M20" s="3">
        <f t="shared" si="10"/>
        <v>9361676.4500810001</v>
      </c>
    </row>
    <row r="21" spans="1:13" x14ac:dyDescent="0.25">
      <c r="A21" t="s">
        <v>27</v>
      </c>
      <c r="B21" s="3">
        <f t="shared" ref="B21:M21" si="11">B2*B12</f>
        <v>29.268374411666198</v>
      </c>
      <c r="C21" s="3">
        <f t="shared" si="11"/>
        <v>30.768996056896292</v>
      </c>
      <c r="D21" s="3">
        <f t="shared" si="11"/>
        <v>31.390571008523562</v>
      </c>
      <c r="E21" s="3">
        <f t="shared" si="11"/>
        <v>53.215226203029445</v>
      </c>
      <c r="F21" s="3">
        <f t="shared" si="11"/>
        <v>55.943629194356895</v>
      </c>
      <c r="G21" s="3">
        <f t="shared" si="11"/>
        <v>57.073765470042844</v>
      </c>
      <c r="H21" s="3">
        <f t="shared" si="11"/>
        <v>133.03806550757363</v>
      </c>
      <c r="I21" s="3">
        <f t="shared" si="11"/>
        <v>139.85907298589225</v>
      </c>
      <c r="J21" s="3">
        <f t="shared" si="11"/>
        <v>142.68441367510709</v>
      </c>
      <c r="K21" s="3">
        <f t="shared" si="11"/>
        <v>443.46021835857874</v>
      </c>
      <c r="L21" s="3">
        <f t="shared" si="11"/>
        <v>466.19690995297412</v>
      </c>
      <c r="M21" s="3">
        <f t="shared" si="11"/>
        <v>475.614712250357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5" workbookViewId="0">
      <selection activeCell="H16" sqref="H16"/>
    </sheetView>
  </sheetViews>
  <sheetFormatPr defaultRowHeight="15" x14ac:dyDescent="0.25"/>
  <cols>
    <col min="1" max="1" width="27.42578125" bestFit="1" customWidth="1"/>
    <col min="4" max="4" width="8.85546875" customWidth="1"/>
    <col min="7" max="7" width="11" bestFit="1" customWidth="1"/>
  </cols>
  <sheetData>
    <row r="1" spans="1:14" x14ac:dyDescent="0.25">
      <c r="B1" s="15" t="s">
        <v>43</v>
      </c>
      <c r="C1" s="16"/>
      <c r="D1" s="17"/>
      <c r="E1" s="13" t="s">
        <v>44</v>
      </c>
      <c r="F1" s="13"/>
      <c r="G1" s="13"/>
      <c r="H1" s="15" t="s">
        <v>45</v>
      </c>
      <c r="I1" s="16"/>
      <c r="J1" s="17"/>
      <c r="K1" s="13" t="s">
        <v>46</v>
      </c>
      <c r="L1" s="13"/>
      <c r="M1" s="13"/>
      <c r="N1" s="14"/>
    </row>
    <row r="2" spans="1:14" x14ac:dyDescent="0.25">
      <c r="A2" t="s">
        <v>37</v>
      </c>
      <c r="B2" s="18" t="s">
        <v>38</v>
      </c>
      <c r="C2" s="8" t="s">
        <v>39</v>
      </c>
      <c r="D2" s="19" t="s">
        <v>41</v>
      </c>
      <c r="E2" s="8" t="s">
        <v>38</v>
      </c>
      <c r="F2" s="8" t="s">
        <v>39</v>
      </c>
      <c r="G2" s="8" t="s">
        <v>41</v>
      </c>
      <c r="H2" s="18" t="s">
        <v>38</v>
      </c>
      <c r="I2" s="8" t="s">
        <v>39</v>
      </c>
      <c r="J2" s="19" t="s">
        <v>41</v>
      </c>
      <c r="K2" s="8" t="s">
        <v>38</v>
      </c>
      <c r="L2" s="8" t="s">
        <v>39</v>
      </c>
      <c r="M2" s="8" t="s">
        <v>41</v>
      </c>
      <c r="N2" s="9" t="s">
        <v>47</v>
      </c>
    </row>
    <row r="3" spans="1:14" ht="14.45" customHeight="1" x14ac:dyDescent="0.25">
      <c r="A3" t="s">
        <v>29</v>
      </c>
      <c r="B3" s="20">
        <f>'Altitude Laser Analysis'!$B21</f>
        <v>5.3836664708918658</v>
      </c>
      <c r="C3" s="2">
        <f>'Altitude Laser Analysis'!$B21</f>
        <v>5.3836664708918658</v>
      </c>
      <c r="D3" s="21">
        <f>'Altitude Laser Analysis'!$B21</f>
        <v>5.3836664708918658</v>
      </c>
      <c r="E3" s="10">
        <f>'Altitude Laser Analysis'!$E21</f>
        <v>0.66468552407559311</v>
      </c>
      <c r="F3" s="2">
        <f>'Altitude Laser Analysis'!$E21</f>
        <v>0.66468552407559311</v>
      </c>
      <c r="G3" s="5">
        <f>'Altitude Laser Analysis'!$E21</f>
        <v>0.66468552407559311</v>
      </c>
      <c r="H3" s="20">
        <f>'Altitude Laser Analysis'!$H21</f>
        <v>8.7352631678158694</v>
      </c>
      <c r="I3" s="2">
        <f>'Altitude Laser Analysis'!$H21</f>
        <v>8.7352631678158694</v>
      </c>
      <c r="J3" s="21">
        <f>'Altitude Laser Analysis'!$H21</f>
        <v>8.7352631678158694</v>
      </c>
      <c r="K3" s="10">
        <f>'Altitude Laser Analysis'!$L21</f>
        <v>7.854512963871545</v>
      </c>
      <c r="L3" s="2">
        <f>'Altitude Laser Analysis'!$L21</f>
        <v>7.854512963871545</v>
      </c>
      <c r="M3" s="2">
        <f>'Altitude Laser Analysis'!$L21</f>
        <v>7.854512963871545</v>
      </c>
      <c r="N3" s="2">
        <f>'Altitude Laser Analysis'!$L21</f>
        <v>7.854512963871545</v>
      </c>
    </row>
    <row r="4" spans="1:14" ht="0.6" hidden="1" customHeight="1" x14ac:dyDescent="0.25">
      <c r="B4" s="20">
        <f>B3/100</f>
        <v>5.3836664708918659E-2</v>
      </c>
      <c r="C4" s="2">
        <f t="shared" ref="C4:D4" si="0">C3/100</f>
        <v>5.3836664708918659E-2</v>
      </c>
      <c r="D4" s="21">
        <f t="shared" si="0"/>
        <v>5.3836664708918659E-2</v>
      </c>
      <c r="E4" s="10">
        <f>E3/100</f>
        <v>6.6468552407559309E-3</v>
      </c>
      <c r="F4" s="2">
        <f t="shared" ref="F4:G4" si="1">F3/100</f>
        <v>6.6468552407559309E-3</v>
      </c>
      <c r="G4" s="5">
        <f t="shared" si="1"/>
        <v>6.6468552407559309E-3</v>
      </c>
      <c r="H4" s="20">
        <f>H3/100</f>
        <v>8.7352631678158696E-2</v>
      </c>
      <c r="I4" s="2">
        <f t="shared" ref="I4:J4" si="2">I3/100</f>
        <v>8.7352631678158696E-2</v>
      </c>
      <c r="J4" s="21">
        <f t="shared" si="2"/>
        <v>8.7352631678158696E-2</v>
      </c>
      <c r="K4" s="10">
        <f>K3/100</f>
        <v>7.8545129638715447E-2</v>
      </c>
      <c r="L4" s="2">
        <f t="shared" ref="L4:N4" si="3">L3/100</f>
        <v>7.8545129638715447E-2</v>
      </c>
      <c r="M4" s="2">
        <f t="shared" si="3"/>
        <v>7.8545129638715447E-2</v>
      </c>
      <c r="N4" s="2">
        <f t="shared" si="3"/>
        <v>7.8545129638715447E-2</v>
      </c>
    </row>
    <row r="5" spans="1:14" x14ac:dyDescent="0.25">
      <c r="A5" t="s">
        <v>28</v>
      </c>
      <c r="B5" s="20">
        <f>'Altitude Laser Analysis'!$B23</f>
        <v>18.426938240787251</v>
      </c>
      <c r="C5" s="2">
        <f>'Altitude Laser Analysis'!$B23</f>
        <v>18.426938240787251</v>
      </c>
      <c r="D5" s="21">
        <f>'Altitude Laser Analysis'!$B23</f>
        <v>18.426938240787251</v>
      </c>
      <c r="E5" s="10">
        <f>'Altitude Laser Analysis'!$E23</f>
        <v>53.399734587702063</v>
      </c>
      <c r="F5" s="2">
        <f>'Altitude Laser Analysis'!$E23</f>
        <v>53.399734587702063</v>
      </c>
      <c r="G5" s="5">
        <f>'Altitude Laser Analysis'!$E23</f>
        <v>53.399734587702063</v>
      </c>
      <c r="H5" s="20">
        <f>'Altitude Laser Analysis'!$H23</f>
        <v>54.572946311231881</v>
      </c>
      <c r="I5" s="2">
        <f>'Altitude Laser Analysis'!$H23</f>
        <v>54.572946311231881</v>
      </c>
      <c r="J5" s="21">
        <f>'Altitude Laser Analysis'!$H23</f>
        <v>54.572946311231881</v>
      </c>
      <c r="K5" s="10">
        <f>'Altitude Laser Analysis'!$L23</f>
        <v>294.54231656517806</v>
      </c>
      <c r="L5" s="2">
        <f>'Altitude Laser Analysis'!$L23</f>
        <v>294.54231656517806</v>
      </c>
      <c r="M5" s="2">
        <f>'Altitude Laser Analysis'!$L23</f>
        <v>294.54231656517806</v>
      </c>
      <c r="N5" s="2">
        <f>'Altitude Laser Analysis'!$L23</f>
        <v>294.54231656517806</v>
      </c>
    </row>
    <row r="6" spans="1:14" x14ac:dyDescent="0.25">
      <c r="A6" t="s">
        <v>30</v>
      </c>
      <c r="B6" s="20">
        <v>0.5</v>
      </c>
      <c r="C6" s="2">
        <v>0.5</v>
      </c>
      <c r="D6" s="21">
        <v>0.5</v>
      </c>
      <c r="E6" s="10">
        <v>0.5</v>
      </c>
      <c r="F6" s="2">
        <v>0.5</v>
      </c>
      <c r="G6" s="5">
        <v>0.5</v>
      </c>
      <c r="H6" s="20">
        <v>0.5</v>
      </c>
      <c r="I6" s="2">
        <v>0.5</v>
      </c>
      <c r="J6" s="21">
        <v>0.5</v>
      </c>
      <c r="K6" s="10">
        <v>0.5</v>
      </c>
      <c r="L6" s="2">
        <v>0.5</v>
      </c>
      <c r="M6" s="2">
        <v>0.5</v>
      </c>
      <c r="N6" s="2">
        <v>0.5</v>
      </c>
    </row>
    <row r="7" spans="1:14" x14ac:dyDescent="0.25">
      <c r="A7" t="s">
        <v>32</v>
      </c>
      <c r="B7" s="20">
        <v>300</v>
      </c>
      <c r="C7" s="2">
        <v>300</v>
      </c>
      <c r="D7" s="21">
        <v>300</v>
      </c>
      <c r="E7" s="10">
        <v>300</v>
      </c>
      <c r="F7" s="2">
        <v>300</v>
      </c>
      <c r="G7" s="5">
        <v>300</v>
      </c>
      <c r="H7" s="20">
        <v>300</v>
      </c>
      <c r="I7" s="2">
        <v>300</v>
      </c>
      <c r="J7" s="21">
        <v>300</v>
      </c>
      <c r="K7" s="10">
        <v>300</v>
      </c>
      <c r="L7" s="2">
        <v>300</v>
      </c>
      <c r="M7" s="2">
        <v>300</v>
      </c>
      <c r="N7" s="2">
        <v>300</v>
      </c>
    </row>
    <row r="8" spans="1:14" x14ac:dyDescent="0.25">
      <c r="A8" t="s">
        <v>33</v>
      </c>
      <c r="B8" s="20">
        <v>933.5</v>
      </c>
      <c r="C8" s="2">
        <v>398.2</v>
      </c>
      <c r="D8" s="21">
        <v>1811</v>
      </c>
      <c r="E8" s="10">
        <v>933.5</v>
      </c>
      <c r="F8" s="2">
        <v>398.2</v>
      </c>
      <c r="G8" s="5">
        <v>1811</v>
      </c>
      <c r="H8" s="20">
        <v>933.5</v>
      </c>
      <c r="I8" s="2">
        <v>398.2</v>
      </c>
      <c r="J8" s="21">
        <v>1811</v>
      </c>
      <c r="K8" s="10">
        <v>933.5</v>
      </c>
      <c r="L8" s="2">
        <v>398.2</v>
      </c>
      <c r="M8" s="2">
        <v>1811</v>
      </c>
      <c r="N8" s="2">
        <v>3908</v>
      </c>
    </row>
    <row r="9" spans="1:14" x14ac:dyDescent="0.25">
      <c r="A9" t="s">
        <v>31</v>
      </c>
      <c r="B9" s="20">
        <v>2700</v>
      </c>
      <c r="C9" s="2">
        <v>960</v>
      </c>
      <c r="D9" s="21">
        <v>7874</v>
      </c>
      <c r="E9" s="10">
        <v>2700</v>
      </c>
      <c r="F9" s="2">
        <v>960</v>
      </c>
      <c r="G9" s="5">
        <v>7874</v>
      </c>
      <c r="H9" s="20">
        <v>2700</v>
      </c>
      <c r="I9" s="2">
        <v>960</v>
      </c>
      <c r="J9" s="21">
        <v>7874</v>
      </c>
      <c r="K9" s="10">
        <v>2700</v>
      </c>
      <c r="L9" s="2">
        <v>960</v>
      </c>
      <c r="M9" s="2">
        <v>7874</v>
      </c>
      <c r="N9" s="2">
        <v>2100</v>
      </c>
    </row>
    <row r="10" spans="1:14" x14ac:dyDescent="0.25">
      <c r="A10" t="s">
        <v>34</v>
      </c>
      <c r="B10" s="20">
        <v>397</v>
      </c>
      <c r="C10" s="2">
        <v>228</v>
      </c>
      <c r="D10" s="21">
        <v>247</v>
      </c>
      <c r="E10" s="10">
        <v>397</v>
      </c>
      <c r="F10" s="2">
        <v>228</v>
      </c>
      <c r="G10" s="5">
        <v>247</v>
      </c>
      <c r="H10" s="20">
        <v>397</v>
      </c>
      <c r="I10" s="2">
        <v>228</v>
      </c>
      <c r="J10" s="21">
        <v>247</v>
      </c>
      <c r="K10" s="10">
        <v>397</v>
      </c>
      <c r="L10" s="2">
        <v>228</v>
      </c>
      <c r="M10" s="2">
        <v>247</v>
      </c>
      <c r="N10" s="2">
        <v>59500</v>
      </c>
    </row>
    <row r="11" spans="1:14" x14ac:dyDescent="0.25">
      <c r="A11" t="s">
        <v>35</v>
      </c>
      <c r="B11" s="20">
        <v>0.89700000000000002</v>
      </c>
      <c r="C11" s="2">
        <v>1.55</v>
      </c>
      <c r="D11" s="21">
        <v>0.44900000000000001</v>
      </c>
      <c r="E11" s="10">
        <v>0.89700000000000002</v>
      </c>
      <c r="F11" s="2">
        <v>1.55</v>
      </c>
      <c r="G11" s="5">
        <v>0.44900000000000001</v>
      </c>
      <c r="H11" s="20">
        <v>0.89700000000000002</v>
      </c>
      <c r="I11" s="2">
        <v>1.55</v>
      </c>
      <c r="J11" s="21">
        <v>0.44900000000000001</v>
      </c>
      <c r="K11" s="10">
        <v>0.89700000000000002</v>
      </c>
      <c r="L11" s="2">
        <v>1.55</v>
      </c>
      <c r="M11" s="2">
        <v>0.44900000000000001</v>
      </c>
      <c r="N11" s="2">
        <v>0.71</v>
      </c>
    </row>
    <row r="12" spans="1:14" x14ac:dyDescent="0.25">
      <c r="A12" t="s">
        <v>40</v>
      </c>
      <c r="B12" s="20">
        <v>140</v>
      </c>
      <c r="C12" s="2">
        <v>0.46</v>
      </c>
      <c r="D12" s="21">
        <v>54</v>
      </c>
      <c r="E12" s="10">
        <v>140</v>
      </c>
      <c r="F12" s="2">
        <v>0.46</v>
      </c>
      <c r="G12" s="5">
        <v>54</v>
      </c>
      <c r="H12" s="20">
        <v>140</v>
      </c>
      <c r="I12" s="2">
        <v>0.46</v>
      </c>
      <c r="J12" s="21">
        <v>54</v>
      </c>
      <c r="K12" s="10">
        <v>140</v>
      </c>
      <c r="L12" s="2">
        <v>0.46</v>
      </c>
      <c r="M12" s="2">
        <v>54</v>
      </c>
      <c r="N12" s="2">
        <v>2</v>
      </c>
    </row>
    <row r="13" spans="1:14" x14ac:dyDescent="0.25">
      <c r="A13" t="s">
        <v>42</v>
      </c>
      <c r="B13" s="22" t="str">
        <f t="shared" ref="B13:N13" si="4">IF((B9*B11*(B8-B7)*SQRT((B12/1000)/(B9*B11))*(1/B6))&lt;B5/(0.25*PI()*B4^2),"YES","NO")</f>
        <v>NO</v>
      </c>
      <c r="C13" s="3" t="str">
        <f t="shared" si="4"/>
        <v>YES</v>
      </c>
      <c r="D13" s="23" t="str">
        <f t="shared" si="4"/>
        <v>NO</v>
      </c>
      <c r="E13" s="11" t="str">
        <f t="shared" si="4"/>
        <v>YES</v>
      </c>
      <c r="F13" s="3" t="str">
        <f t="shared" si="4"/>
        <v>YES</v>
      </c>
      <c r="G13" s="6" t="str">
        <f t="shared" si="4"/>
        <v>YES</v>
      </c>
      <c r="H13" s="22" t="str">
        <f t="shared" si="4"/>
        <v>NO</v>
      </c>
      <c r="I13" s="3" t="str">
        <f t="shared" si="4"/>
        <v>YES</v>
      </c>
      <c r="J13" s="23" t="str">
        <f t="shared" si="4"/>
        <v>NO</v>
      </c>
      <c r="K13" s="11" t="str">
        <f t="shared" si="4"/>
        <v>YES</v>
      </c>
      <c r="L13" s="3" t="str">
        <f t="shared" si="4"/>
        <v>YES</v>
      </c>
      <c r="M13" s="3" t="str">
        <f t="shared" si="4"/>
        <v>YES</v>
      </c>
      <c r="N13" s="3" t="str">
        <f t="shared" si="4"/>
        <v>YES</v>
      </c>
    </row>
    <row r="14" spans="1:14" ht="0.6" customHeight="1" x14ac:dyDescent="0.25">
      <c r="B14" s="24">
        <f t="shared" ref="B14:N14" si="5">(B6*(B5/(PI()*0.25*B4^2)))/(B9*(B10+B11*(B8-B7)))</f>
        <v>1.5530078841429447E-3</v>
      </c>
      <c r="C14" s="4">
        <f t="shared" si="5"/>
        <v>1.1088741051807981E-2</v>
      </c>
      <c r="D14" s="25">
        <f t="shared" si="5"/>
        <v>5.5543571508493382E-4</v>
      </c>
      <c r="E14" s="12">
        <f t="shared" si="5"/>
        <v>0.29524559778121756</v>
      </c>
      <c r="F14" s="4">
        <f t="shared" si="5"/>
        <v>2.1081039020538754</v>
      </c>
      <c r="G14" s="7">
        <f t="shared" si="5"/>
        <v>0.10559505293161479</v>
      </c>
      <c r="H14" s="24">
        <f t="shared" si="5"/>
        <v>1.7470373413490125E-3</v>
      </c>
      <c r="I14" s="4">
        <f t="shared" si="5"/>
        <v>1.2474144454681438E-2</v>
      </c>
      <c r="J14" s="25">
        <f t="shared" si="5"/>
        <v>6.2483065596784454E-4</v>
      </c>
      <c r="K14" s="12">
        <f t="shared" si="5"/>
        <v>1.1662346752676769E-2</v>
      </c>
      <c r="L14" s="4">
        <f t="shared" si="5"/>
        <v>8.3271144027832367E-2</v>
      </c>
      <c r="M14" s="4">
        <f t="shared" si="5"/>
        <v>4.1710566792880792E-3</v>
      </c>
      <c r="N14" s="4">
        <f t="shared" si="5"/>
        <v>2.3320962847336681E-4</v>
      </c>
    </row>
    <row r="15" spans="1:14" x14ac:dyDescent="0.25">
      <c r="A15" t="s">
        <v>36</v>
      </c>
      <c r="B15" s="22">
        <f t="shared" ref="B15:N15" si="6">B14*1000</f>
        <v>1.5530078841429447</v>
      </c>
      <c r="C15" s="3">
        <f t="shared" si="6"/>
        <v>11.088741051807981</v>
      </c>
      <c r="D15" s="23">
        <f t="shared" si="6"/>
        <v>0.55543571508493383</v>
      </c>
      <c r="E15" s="11">
        <f t="shared" si="6"/>
        <v>295.24559778121755</v>
      </c>
      <c r="F15" s="3">
        <f t="shared" si="6"/>
        <v>2108.1039020538756</v>
      </c>
      <c r="G15" s="6">
        <f t="shared" si="6"/>
        <v>105.59505293161479</v>
      </c>
      <c r="H15" s="22">
        <f t="shared" si="6"/>
        <v>1.7470373413490126</v>
      </c>
      <c r="I15" s="3">
        <f t="shared" si="6"/>
        <v>12.474144454681438</v>
      </c>
      <c r="J15" s="23">
        <f t="shared" si="6"/>
        <v>0.62483065596784459</v>
      </c>
      <c r="K15" s="11">
        <f t="shared" si="6"/>
        <v>11.662346752676768</v>
      </c>
      <c r="L15" s="3">
        <f t="shared" si="6"/>
        <v>83.271144027832364</v>
      </c>
      <c r="M15" s="3">
        <f t="shared" si="6"/>
        <v>4.1710566792880792</v>
      </c>
      <c r="N15" s="3">
        <f t="shared" si="6"/>
        <v>0.23320962847336682</v>
      </c>
    </row>
    <row r="16" spans="1:14" ht="15.75" thickBot="1" x14ac:dyDescent="0.3">
      <c r="A16" t="s">
        <v>48</v>
      </c>
      <c r="B16" s="26">
        <f>(B9*B11*(B8-B7)*SQRT((B12/1000)/(B9*B11))*(1/B6))</f>
        <v>23330.214745561178</v>
      </c>
      <c r="C16" s="27">
        <f>(C9*C11*(C8-C7)*SQRT((C12/1000)/(C9*C11))*(1/C6))</f>
        <v>162.48821391350202</v>
      </c>
      <c r="D16" s="28">
        <f t="shared" ref="D16:M16" si="7">(D9*D11*(D8-D7)*SQRT((D12/1000)/(D9*D11))*(1/D6))</f>
        <v>41755.358391731424</v>
      </c>
      <c r="E16" s="11">
        <f t="shared" si="7"/>
        <v>23330.214745561178</v>
      </c>
      <c r="F16" s="3">
        <f t="shared" si="7"/>
        <v>162.48821391350202</v>
      </c>
      <c r="G16" s="6">
        <f t="shared" si="7"/>
        <v>41755.358391731424</v>
      </c>
      <c r="H16" s="26">
        <f t="shared" si="7"/>
        <v>23330.214745561178</v>
      </c>
      <c r="I16" s="27">
        <f t="shared" si="7"/>
        <v>162.48821391350202</v>
      </c>
      <c r="J16" s="28">
        <f t="shared" si="7"/>
        <v>41755.358391731424</v>
      </c>
      <c r="K16" s="11">
        <f t="shared" si="7"/>
        <v>23330.214745561178</v>
      </c>
      <c r="L16" s="3">
        <f t="shared" si="7"/>
        <v>162.48821391350202</v>
      </c>
      <c r="M16" s="3">
        <f t="shared" si="7"/>
        <v>41755.358391731424</v>
      </c>
      <c r="N16" s="3">
        <f t="shared" ref="N16" si="8">(N9*N11*(N8-N7)*SQRT((N12/1000)/(N9*N11))*(1/N6))</f>
        <v>12460.926779016077</v>
      </c>
    </row>
  </sheetData>
  <mergeCells count="4">
    <mergeCell ref="B1:D1"/>
    <mergeCell ref="E1:G1"/>
    <mergeCell ref="H1:J1"/>
    <mergeCell ref="K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G10" sqref="G10"/>
    </sheetView>
  </sheetViews>
  <sheetFormatPr defaultRowHeight="15" x14ac:dyDescent="0.25"/>
  <cols>
    <col min="1" max="1" width="31.7109375" bestFit="1" customWidth="1"/>
    <col min="2" max="4" width="12" customWidth="1"/>
    <col min="5" max="7" width="12.42578125" bestFit="1" customWidth="1"/>
    <col min="8" max="10" width="13.5703125" bestFit="1" customWidth="1"/>
  </cols>
  <sheetData>
    <row r="1" spans="1:13" x14ac:dyDescent="0.25">
      <c r="A1" t="s">
        <v>0</v>
      </c>
      <c r="B1" t="s">
        <v>1</v>
      </c>
      <c r="C1" t="s">
        <v>1</v>
      </c>
      <c r="D1" t="s">
        <v>1</v>
      </c>
      <c r="E1" t="s">
        <v>44</v>
      </c>
      <c r="F1" t="s">
        <v>44</v>
      </c>
      <c r="G1" t="s">
        <v>44</v>
      </c>
      <c r="H1" t="s">
        <v>45</v>
      </c>
      <c r="I1" t="s">
        <v>45</v>
      </c>
      <c r="J1" t="s">
        <v>45</v>
      </c>
      <c r="K1" t="s">
        <v>46</v>
      </c>
      <c r="L1" t="s">
        <v>46</v>
      </c>
      <c r="M1" t="s">
        <v>46</v>
      </c>
    </row>
    <row r="2" spans="1:13" x14ac:dyDescent="0.25">
      <c r="A2" t="s">
        <v>7</v>
      </c>
      <c r="B2" s="2">
        <v>33</v>
      </c>
      <c r="C2" s="2">
        <v>33</v>
      </c>
      <c r="D2" s="2">
        <v>33</v>
      </c>
      <c r="E2" s="2">
        <v>60</v>
      </c>
      <c r="F2" s="2">
        <v>60</v>
      </c>
      <c r="G2" s="2">
        <v>60</v>
      </c>
      <c r="H2" s="2">
        <v>150</v>
      </c>
      <c r="I2" s="2">
        <v>150</v>
      </c>
      <c r="J2" s="2">
        <v>150</v>
      </c>
      <c r="K2" s="2">
        <v>500</v>
      </c>
      <c r="L2" s="2">
        <v>500</v>
      </c>
      <c r="M2" s="2">
        <v>500</v>
      </c>
    </row>
    <row r="3" spans="1:13" x14ac:dyDescent="0.25">
      <c r="A3" t="s">
        <v>2</v>
      </c>
      <c r="B3" s="2">
        <v>0.4</v>
      </c>
      <c r="C3" s="2">
        <v>0.4</v>
      </c>
      <c r="D3" s="2">
        <v>0.4</v>
      </c>
      <c r="E3" s="2">
        <v>0.6</v>
      </c>
      <c r="F3" s="2">
        <v>0.6</v>
      </c>
      <c r="G3" s="2">
        <v>0.6</v>
      </c>
      <c r="H3" s="2">
        <v>0.6</v>
      </c>
      <c r="I3" s="2">
        <v>0.6</v>
      </c>
      <c r="J3" s="2">
        <v>0.6</v>
      </c>
      <c r="K3" s="2">
        <v>1</v>
      </c>
      <c r="L3" s="2">
        <v>1</v>
      </c>
      <c r="M3" s="2">
        <v>1</v>
      </c>
    </row>
    <row r="4" spans="1:13" x14ac:dyDescent="0.25">
      <c r="A4" t="s">
        <v>4</v>
      </c>
      <c r="B4" s="3">
        <v>1045</v>
      </c>
      <c r="C4" s="3">
        <v>1625</v>
      </c>
      <c r="D4" s="3">
        <v>2141</v>
      </c>
      <c r="E4" s="3">
        <v>1045</v>
      </c>
      <c r="F4" s="3">
        <v>1625</v>
      </c>
      <c r="G4" s="3">
        <v>2141</v>
      </c>
      <c r="H4" s="3">
        <v>1045</v>
      </c>
      <c r="I4" s="3">
        <v>1625</v>
      </c>
      <c r="J4" s="3">
        <v>2141</v>
      </c>
      <c r="K4" s="3">
        <v>1045</v>
      </c>
      <c r="L4" s="3">
        <v>1625</v>
      </c>
      <c r="M4" s="3">
        <v>2141</v>
      </c>
    </row>
    <row r="5" spans="1:13" ht="0.6" customHeight="1" x14ac:dyDescent="0.25">
      <c r="B5" s="3">
        <f t="shared" ref="B5:M5" si="0">B4*0.000000001</f>
        <v>1.0450000000000002E-6</v>
      </c>
      <c r="C5" s="3">
        <f t="shared" si="0"/>
        <v>1.6250000000000001E-6</v>
      </c>
      <c r="D5" s="3">
        <f t="shared" si="0"/>
        <v>2.1410000000000003E-6</v>
      </c>
      <c r="E5" s="3">
        <f t="shared" si="0"/>
        <v>1.0450000000000002E-6</v>
      </c>
      <c r="F5" s="3">
        <f t="shared" si="0"/>
        <v>1.6250000000000001E-6</v>
      </c>
      <c r="G5" s="3">
        <f t="shared" si="0"/>
        <v>2.1410000000000003E-6</v>
      </c>
      <c r="H5" s="3">
        <f t="shared" si="0"/>
        <v>1.0450000000000002E-6</v>
      </c>
      <c r="I5" s="3">
        <f t="shared" si="0"/>
        <v>1.6250000000000001E-6</v>
      </c>
      <c r="J5" s="3">
        <f t="shared" si="0"/>
        <v>2.1410000000000003E-6</v>
      </c>
      <c r="K5" s="3">
        <f t="shared" si="0"/>
        <v>1.0450000000000002E-6</v>
      </c>
      <c r="L5" s="3">
        <f t="shared" si="0"/>
        <v>1.6250000000000001E-6</v>
      </c>
      <c r="M5" s="3">
        <f t="shared" si="0"/>
        <v>2.1410000000000003E-6</v>
      </c>
    </row>
    <row r="6" spans="1:13" x14ac:dyDescent="0.25">
      <c r="A6" t="s">
        <v>3</v>
      </c>
      <c r="B6" s="2">
        <v>3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</row>
    <row r="7" spans="1:13" x14ac:dyDescent="0.25">
      <c r="A7" t="s">
        <v>52</v>
      </c>
      <c r="B7" s="2">
        <v>5000</v>
      </c>
      <c r="C7" s="2">
        <f>B7</f>
        <v>5000</v>
      </c>
      <c r="D7" s="2">
        <f>B7</f>
        <v>5000</v>
      </c>
      <c r="E7" s="2">
        <v>1000</v>
      </c>
      <c r="F7" s="2">
        <f>E7</f>
        <v>1000</v>
      </c>
      <c r="G7" s="2">
        <f>E7</f>
        <v>1000</v>
      </c>
      <c r="H7" s="2">
        <v>10000</v>
      </c>
      <c r="I7" s="2">
        <f>H7</f>
        <v>10000</v>
      </c>
      <c r="J7" s="2">
        <f>H7</f>
        <v>10000</v>
      </c>
      <c r="K7" s="2">
        <f>L7</f>
        <v>10000</v>
      </c>
      <c r="L7" s="2">
        <v>10000</v>
      </c>
      <c r="M7" s="2">
        <f>L7</f>
        <v>10000</v>
      </c>
    </row>
    <row r="8" spans="1:13" ht="23.25" hidden="1" customHeight="1" x14ac:dyDescent="0.25">
      <c r="B8" s="2">
        <f>(1.22*B7*B5*B6)/B3</f>
        <v>4.7808750000000004E-2</v>
      </c>
      <c r="C8" s="2">
        <f t="shared" ref="C8:C9" si="1">B8</f>
        <v>4.7808750000000004E-2</v>
      </c>
      <c r="D8" s="2">
        <f t="shared" ref="D8:D9" si="2">B8</f>
        <v>4.7808750000000004E-2</v>
      </c>
      <c r="E8" s="2">
        <f t="shared" ref="C8:M8" si="3">(1.22*E7*E5*E6)/E3</f>
        <v>6.3745000000000017E-3</v>
      </c>
      <c r="F8" s="2">
        <f t="shared" ref="F8:F9" si="4">E8</f>
        <v>6.3745000000000017E-3</v>
      </c>
      <c r="G8" s="2">
        <f t="shared" ref="G8:G9" si="5">E8</f>
        <v>6.3745000000000017E-3</v>
      </c>
      <c r="H8" s="2">
        <f t="shared" si="3"/>
        <v>6.374500000000001E-2</v>
      </c>
      <c r="I8" s="2">
        <f t="shared" ref="I8:I9" si="6">H8</f>
        <v>6.374500000000001E-2</v>
      </c>
      <c r="J8" s="2">
        <f t="shared" ref="J8:J9" si="7">H8</f>
        <v>6.374500000000001E-2</v>
      </c>
      <c r="K8" s="2">
        <f t="shared" ref="K8:K9" si="8">L8</f>
        <v>5.9475000000000007E-2</v>
      </c>
      <c r="L8" s="2">
        <f t="shared" si="3"/>
        <v>5.9475000000000007E-2</v>
      </c>
      <c r="M8" s="2">
        <f t="shared" ref="M8:M9" si="9">L8</f>
        <v>5.9475000000000007E-2</v>
      </c>
    </row>
    <row r="9" spans="1:13" ht="15" customHeight="1" x14ac:dyDescent="0.25">
      <c r="A9" t="s">
        <v>49</v>
      </c>
      <c r="B9" s="2">
        <v>500</v>
      </c>
      <c r="C9" s="2">
        <f t="shared" si="1"/>
        <v>500</v>
      </c>
      <c r="D9" s="2">
        <f t="shared" si="2"/>
        <v>500</v>
      </c>
      <c r="E9" s="2">
        <v>500</v>
      </c>
      <c r="F9" s="2">
        <f t="shared" si="4"/>
        <v>500</v>
      </c>
      <c r="G9" s="2">
        <f t="shared" si="5"/>
        <v>500</v>
      </c>
      <c r="H9" s="2">
        <v>3000</v>
      </c>
      <c r="I9" s="2">
        <f t="shared" si="6"/>
        <v>3000</v>
      </c>
      <c r="J9" s="2">
        <f t="shared" si="7"/>
        <v>3000</v>
      </c>
      <c r="K9" s="2">
        <f t="shared" si="8"/>
        <v>5000</v>
      </c>
      <c r="L9" s="2">
        <v>5000</v>
      </c>
      <c r="M9" s="2">
        <f t="shared" si="9"/>
        <v>5000</v>
      </c>
    </row>
    <row r="10" spans="1:13" ht="15" customHeight="1" x14ac:dyDescent="0.25">
      <c r="A10" t="s">
        <v>51</v>
      </c>
      <c r="B10" s="3">
        <f>B7*(ScaleHeight*(1-EXP(-B9/ScaleHeight)))/B9</f>
        <v>4855.7827723356268</v>
      </c>
      <c r="C10" s="3">
        <f>C7*(ScaleHeight*(1-EXP(-C9/ScaleHeight)))/C9</f>
        <v>4855.7827723356268</v>
      </c>
      <c r="D10" s="3">
        <f>D7*(ScaleHeight*(1-EXP(-D9/ScaleHeight)))/D9</f>
        <v>4855.7827723356268</v>
      </c>
      <c r="E10" s="3">
        <f>E7*(ScaleHeight*(1-EXP(-E9/ScaleHeight)))/E9</f>
        <v>971.15655446712549</v>
      </c>
      <c r="F10" s="3">
        <f>F7*(ScaleHeight*(1-EXP(-F9/ScaleHeight)))/F9</f>
        <v>971.15655446712549</v>
      </c>
      <c r="G10" s="3">
        <f>G7*(ScaleHeight*(1-EXP(-G9/ScaleHeight)))/G9</f>
        <v>971.15655446712549</v>
      </c>
      <c r="H10" s="3">
        <f>H7*(ScaleHeight*(1-EXP(-H9/ScaleHeight)))/H9</f>
        <v>8425.8085245484617</v>
      </c>
      <c r="I10" s="3">
        <f>I7*(ScaleHeight*(1-EXP(-I9/ScaleHeight)))/I9</f>
        <v>8425.8085245484617</v>
      </c>
      <c r="J10" s="3">
        <f>J7*(ScaleHeight*(1-EXP(-J9/ScaleHeight)))/J9</f>
        <v>8425.8085245484617</v>
      </c>
      <c r="K10" s="3">
        <f>K7*(ScaleHeight*(1-EXP(-K9/ScaleHeight)))/K9</f>
        <v>7559.7916589668412</v>
      </c>
      <c r="L10" s="3">
        <f>L7*(ScaleHeight*(1-EXP(-L9/ScaleHeight)))/L9</f>
        <v>7559.7916589668412</v>
      </c>
      <c r="M10" s="3">
        <f>M7*(ScaleHeight*(1-EXP(-M9/ScaleHeight)))/M9</f>
        <v>7559.7916589668412</v>
      </c>
    </row>
    <row r="11" spans="1:13" ht="14.45" customHeight="1" x14ac:dyDescent="0.25">
      <c r="A11" t="s">
        <v>6</v>
      </c>
      <c r="B11" s="3">
        <f>100*B8</f>
        <v>4.780875</v>
      </c>
      <c r="C11" s="3">
        <f>100*C8</f>
        <v>4.780875</v>
      </c>
      <c r="D11" s="3">
        <f>100*D8</f>
        <v>4.780875</v>
      </c>
      <c r="E11" s="3">
        <f>100*E8</f>
        <v>0.63745000000000018</v>
      </c>
      <c r="F11" s="3">
        <f>100*F8</f>
        <v>0.63745000000000018</v>
      </c>
      <c r="G11" s="3">
        <f>100*G8</f>
        <v>0.63745000000000018</v>
      </c>
      <c r="H11" s="3">
        <f>100*H8</f>
        <v>6.3745000000000012</v>
      </c>
      <c r="I11" s="3">
        <f>100*I8</f>
        <v>6.3745000000000012</v>
      </c>
      <c r="J11" s="3">
        <f>100*J8</f>
        <v>6.3745000000000012</v>
      </c>
      <c r="K11" s="3">
        <f>100*K8</f>
        <v>5.9475000000000007</v>
      </c>
      <c r="L11" s="3">
        <f>100*L8</f>
        <v>5.9475000000000007</v>
      </c>
      <c r="M11" s="3">
        <f>100*M8</f>
        <v>5.9475000000000007</v>
      </c>
    </row>
    <row r="12" spans="1:13" ht="6.75" hidden="1" customHeight="1" x14ac:dyDescent="0.25">
      <c r="B12" s="3">
        <f>2*((TurbulenceCoeff*B10)/(B5^(1/3)))^(3/5)*B10*0.25</f>
        <v>2.4726437327429976E-2</v>
      </c>
      <c r="C12" s="3">
        <f>2*((TurbulenceCoeff*C10)/(C5^(1/3)))^(3/5)*C10*0.25</f>
        <v>2.2636752954270308E-2</v>
      </c>
      <c r="D12" s="3">
        <f>2*((TurbulenceCoeff*D10)/(D5^(1/3)))^(3/5)*D10*0.25</f>
        <v>2.1422071810817185E-2</v>
      </c>
      <c r="E12" s="3">
        <f>2*((TurbulenceCoeff*E10)/(E5^(1/3)))^(3/5)*E10*0.25</f>
        <v>1.8828231923509299E-3</v>
      </c>
      <c r="F12" s="3">
        <f>2*((TurbulenceCoeff*F10)/(F5^(1/3)))^(3/5)*F10*0.25</f>
        <v>1.7237017568453997E-3</v>
      </c>
      <c r="G12" s="3">
        <f>2*((TurbulenceCoeff*G10)/(G5^(1/3)))^(3/5)*G10*0.25</f>
        <v>1.6312084551246618E-3</v>
      </c>
      <c r="H12" s="3">
        <f>2*((TurbulenceCoeff*H10)/(H5^(1/3)))^(3/5)*H10*0.25</f>
        <v>5.9720754136084062E-2</v>
      </c>
      <c r="I12" s="3">
        <f>2*((TurbulenceCoeff*I10)/(I5^(1/3)))^(3/5)*I10*0.25</f>
        <v>5.4673624821864567E-2</v>
      </c>
      <c r="J12" s="3">
        <f>2*((TurbulenceCoeff*J10)/(J5^(1/3)))^(3/5)*J10*0.25</f>
        <v>5.1739855069218951E-2</v>
      </c>
      <c r="K12" s="3">
        <f>2*((TurbulenceCoeff*K10)/(K5^(1/3)))^(3/5)*K10*0.25</f>
        <v>5.0206791606433723E-2</v>
      </c>
      <c r="L12" s="3">
        <f>2*((TurbulenceCoeff*L10)/(L5^(1/3)))^(3/5)*L10*0.25</f>
        <v>4.5963707717835721E-2</v>
      </c>
      <c r="M12" s="3">
        <f>2*((TurbulenceCoeff*M10)/(M5^(1/3)))^(3/5)*M10*0.25</f>
        <v>4.3497309415886962E-2</v>
      </c>
    </row>
    <row r="13" spans="1:13" x14ac:dyDescent="0.25">
      <c r="A13" t="s">
        <v>9</v>
      </c>
      <c r="B13" s="3">
        <f t="shared" ref="B13:M13" si="10">100*B12</f>
        <v>2.4726437327429975</v>
      </c>
      <c r="C13" s="3">
        <f t="shared" si="10"/>
        <v>2.2636752954270309</v>
      </c>
      <c r="D13" s="3">
        <f t="shared" si="10"/>
        <v>2.1422071810817185</v>
      </c>
      <c r="E13" s="3">
        <f t="shared" si="10"/>
        <v>0.188282319235093</v>
      </c>
      <c r="F13" s="3">
        <f t="shared" si="10"/>
        <v>0.17237017568453997</v>
      </c>
      <c r="G13" s="3">
        <f t="shared" si="10"/>
        <v>0.16312084551246617</v>
      </c>
      <c r="H13" s="3">
        <f t="shared" si="10"/>
        <v>5.9720754136084064</v>
      </c>
      <c r="I13" s="3">
        <f t="shared" si="10"/>
        <v>5.4673624821864566</v>
      </c>
      <c r="J13" s="3">
        <f t="shared" si="10"/>
        <v>5.1739855069218947</v>
      </c>
      <c r="K13" s="3">
        <f t="shared" si="10"/>
        <v>5.0206791606433727</v>
      </c>
      <c r="L13" s="3">
        <f t="shared" si="10"/>
        <v>4.5963707717835725</v>
      </c>
      <c r="M13" s="3">
        <f t="shared" si="10"/>
        <v>4.349730941588696</v>
      </c>
    </row>
    <row r="14" spans="1:13" x14ac:dyDescent="0.25">
      <c r="A14" t="s">
        <v>10</v>
      </c>
      <c r="B14" s="3">
        <f>EXP(-Aerosol1045*B10)</f>
        <v>0.55839206790264395</v>
      </c>
      <c r="C14" s="3">
        <f>EXP(-Aerosol1625*C10)</f>
        <v>0.71183809074867177</v>
      </c>
      <c r="D14" s="3">
        <f>EXP(-Aerosol2141*D10)</f>
        <v>0.78443690378433995</v>
      </c>
      <c r="E14" s="3">
        <f>EXP(-Aerosol1045*E10)</f>
        <v>0.88999557646170102</v>
      </c>
      <c r="F14" s="3">
        <f>EXP(-Aerosol1625*F10)</f>
        <v>0.93427826317524609</v>
      </c>
      <c r="G14" s="3">
        <f>EXP(-Aerosol2141*G10)</f>
        <v>0.95260225089359829</v>
      </c>
      <c r="H14" s="3">
        <f>EXP(-Aerosol1045*H10)</f>
        <v>0.36381964207487921</v>
      </c>
      <c r="I14" s="3">
        <f>EXP(-Aerosol1625*I10)</f>
        <v>0.55443450381838655</v>
      </c>
      <c r="J14" s="3">
        <f>EXP(-Aerosol2141*J10)</f>
        <v>0.65619949618801843</v>
      </c>
      <c r="K14" s="3">
        <f>EXP(-Aerosol1045*K10)</f>
        <v>0.40366296305052124</v>
      </c>
      <c r="L14" s="3">
        <f>EXP(-Aerosol1625*L10)</f>
        <v>0.58908463313035608</v>
      </c>
      <c r="M14" s="3">
        <f>EXP(-Aerosol2141*M10)</f>
        <v>0.68523763878457233</v>
      </c>
    </row>
    <row r="15" spans="1:13" x14ac:dyDescent="0.25">
      <c r="A15" t="s">
        <v>14</v>
      </c>
      <c r="B15" s="2">
        <v>5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50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</row>
    <row r="16" spans="1:13" ht="13.9" customHeight="1" x14ac:dyDescent="0.25">
      <c r="A16" t="s">
        <v>16</v>
      </c>
      <c r="B16" s="3">
        <f t="shared" ref="B16:G16" si="11">B2/((B3^2+B8^2)*PI()*0.125)</f>
        <v>517.8140900985527</v>
      </c>
      <c r="C16" s="3">
        <f t="shared" si="11"/>
        <v>517.8140900985527</v>
      </c>
      <c r="D16" s="3">
        <f t="shared" si="11"/>
        <v>517.8140900985527</v>
      </c>
      <c r="E16" s="3">
        <f t="shared" si="11"/>
        <v>424.36528223095536</v>
      </c>
      <c r="F16" s="3">
        <f t="shared" si="11"/>
        <v>424.36528223095536</v>
      </c>
      <c r="G16" s="3">
        <f t="shared" si="11"/>
        <v>424.36528223095536</v>
      </c>
      <c r="H16" s="3">
        <f>H2/((H3^2+H8^2)*PI()*0.125)</f>
        <v>1049.1904354147057</v>
      </c>
      <c r="I16" s="3">
        <f t="shared" ref="I16:M16" si="12">I2/((I3^2+I8^2)*PI()*0.125)</f>
        <v>1049.1904354147057</v>
      </c>
      <c r="J16" s="3">
        <f t="shared" si="12"/>
        <v>1049.1904354147057</v>
      </c>
      <c r="K16" s="3">
        <f t="shared" si="12"/>
        <v>1268.7516205535992</v>
      </c>
      <c r="L16" s="3">
        <f t="shared" si="12"/>
        <v>1268.7516205535992</v>
      </c>
      <c r="M16" s="3">
        <f t="shared" si="12"/>
        <v>1268.7516205535992</v>
      </c>
    </row>
    <row r="17" spans="1:13" ht="12" hidden="1" customHeight="1" x14ac:dyDescent="0.25">
      <c r="B17" s="3">
        <f>GamTB*Vapor1045*B16*(B10^2/B15)/1000000</f>
        <v>5.4942052229712326E-5</v>
      </c>
      <c r="C17" s="3">
        <f>GamTB*Vapor1625*C16*(C10^2/C15)/1000000</f>
        <v>3.6628034819808221E-3</v>
      </c>
      <c r="D17" s="3">
        <f>GamTB*Vapor2141*D16*(D10^2/D15)/1000000</f>
        <v>5.4942052229712329E-3</v>
      </c>
      <c r="E17" s="3">
        <f>GamTB*Vapor1045*E16*(E10^2/E15)/1000000</f>
        <v>1.8010710752480496E-6</v>
      </c>
      <c r="F17" s="3">
        <f>GamTB*Vapor1625*F16*(F10^2/F15)/1000000</f>
        <v>1.2007140501653666E-4</v>
      </c>
      <c r="G17" s="3">
        <f>GamTB*Vapor2141*G16*(G10^2/G15)/1000000</f>
        <v>1.8010710752480499E-4</v>
      </c>
      <c r="H17" s="3">
        <f>GamTB*Vapor1045*H16*(H10^2/H15)/1000000</f>
        <v>3.3518919297143048E-5</v>
      </c>
      <c r="I17" s="3">
        <f>GamTB*Vapor1625*I16*(I10^2/I15)/1000000</f>
        <v>2.2345946198095368E-2</v>
      </c>
      <c r="J17" s="3">
        <f>GamTB*Vapor2141*J16*(J10^2/J15)/1000000</f>
        <v>3.3518919297143047E-2</v>
      </c>
      <c r="K17" s="3">
        <f>GamTB*Vapor1045*K16*(K10^2/K15)/1000000</f>
        <v>3.2629376682103079E-4</v>
      </c>
      <c r="L17" s="3">
        <f>GamTB*Vapor1625*L16*(L10^2/L15)/1000000</f>
        <v>2.1752917788068721E-2</v>
      </c>
      <c r="M17" s="3">
        <f>GamTB*Vapor2141*M16*(M10^2/M15)/1000000</f>
        <v>3.2629376682103084E-2</v>
      </c>
    </row>
    <row r="18" spans="1:13" x14ac:dyDescent="0.25">
      <c r="A18" t="s">
        <v>20</v>
      </c>
      <c r="B18" s="3">
        <f t="shared" ref="B18:M18" si="13">B17*100</f>
        <v>5.4942052229712329E-3</v>
      </c>
      <c r="C18" s="3">
        <f t="shared" si="13"/>
        <v>0.3662803481980822</v>
      </c>
      <c r="D18" s="3">
        <f t="shared" si="13"/>
        <v>0.54942052229712324</v>
      </c>
      <c r="E18" s="3">
        <f t="shared" si="13"/>
        <v>1.8010710752480497E-4</v>
      </c>
      <c r="F18" s="3">
        <f t="shared" si="13"/>
        <v>1.2007140501653666E-2</v>
      </c>
      <c r="G18" s="3">
        <f t="shared" si="13"/>
        <v>1.8010710752480501E-2</v>
      </c>
      <c r="H18" s="3">
        <f t="shared" si="13"/>
        <v>3.3518919297143047E-3</v>
      </c>
      <c r="I18" s="3">
        <f t="shared" si="13"/>
        <v>2.234594619809537</v>
      </c>
      <c r="J18" s="3">
        <f t="shared" si="13"/>
        <v>3.3518919297143048</v>
      </c>
      <c r="K18" s="3">
        <f t="shared" si="13"/>
        <v>3.2629376682103077E-2</v>
      </c>
      <c r="L18" s="3">
        <f t="shared" si="13"/>
        <v>2.175291778806872</v>
      </c>
      <c r="M18" s="3">
        <f t="shared" si="13"/>
        <v>3.2629376682103084</v>
      </c>
    </row>
    <row r="19" spans="1:13" ht="13.5" hidden="1" customHeight="1" x14ac:dyDescent="0.25">
      <c r="B19" s="3">
        <f>(AerosolAb1045/(1+2.2))*GamTB*B16*(B10^2/B15)/1000000</f>
        <v>1.1446260881190066E-3</v>
      </c>
      <c r="C19" s="3">
        <f>(AerosolAb1625/(1+2.2))*GamTB*C16*(C10^2/C15)/1000000</f>
        <v>1.1446260881190066E-3</v>
      </c>
      <c r="D19" s="3">
        <f>(AerosolAb2141/(1+2.2))*GamTB*D16*(D10^2/D15)/1000000</f>
        <v>1.7169391321785103E-3</v>
      </c>
      <c r="E19" s="3">
        <f>(AerosolAb1045/(1+2.2))*GamTB*E16*(E10^2/E15)/1000000</f>
        <v>3.7522314067667704E-5</v>
      </c>
      <c r="F19" s="3">
        <f>(AerosolAb1625/(1+2.2))*GamTB*F16*(F10^2/F15)/1000000</f>
        <v>3.7522314067667704E-5</v>
      </c>
      <c r="G19" s="3">
        <f>(AerosolAb2141/(1+2.2))*GamTB*G16*(G10^2/G15)/1000000</f>
        <v>5.6283471101501562E-5</v>
      </c>
      <c r="H19" s="3">
        <f>(AerosolAb1045/(1+2.2))*GamTB*H16*(H10^2/H15)/1000000</f>
        <v>6.9831081869048016E-4</v>
      </c>
      <c r="I19" s="3">
        <f>(AerosolAb1625/(1+2.2))*GamTB*I16*(I10^2/I15)/1000000</f>
        <v>6.9831081869048016E-3</v>
      </c>
      <c r="J19" s="3">
        <f>(AerosolAb2141/(1+2.2))*GamTB*J16*(J10^2/J15)/1000000</f>
        <v>1.0474662280357202E-2</v>
      </c>
      <c r="K19" s="3">
        <f>(AerosolAb1045/(1+2.2))*GamTB*K16*(K10^2/K15)/1000000</f>
        <v>6.7977868087714752E-3</v>
      </c>
      <c r="L19" s="3">
        <f>(AerosolAb1625/(1+2.2))*GamTB*L16*(L10^2/L15)/1000000</f>
        <v>6.7977868087714752E-3</v>
      </c>
      <c r="M19" s="3">
        <f>(AerosolAb2141/(1+2.2))*GamTB*M16*(M10^2/M15)/1000000</f>
        <v>1.0196680213157214E-2</v>
      </c>
    </row>
    <row r="20" spans="1:13" x14ac:dyDescent="0.25">
      <c r="A20" t="s">
        <v>21</v>
      </c>
      <c r="B20" s="3">
        <f t="shared" ref="B20:M20" si="14">B19*100</f>
        <v>0.11446260881190067</v>
      </c>
      <c r="C20" s="3">
        <f t="shared" si="14"/>
        <v>0.11446260881190067</v>
      </c>
      <c r="D20" s="3">
        <f t="shared" si="14"/>
        <v>0.17169391321785105</v>
      </c>
      <c r="E20" s="3">
        <f t="shared" si="14"/>
        <v>3.7522314067667704E-3</v>
      </c>
      <c r="F20" s="3">
        <f t="shared" si="14"/>
        <v>3.7522314067667704E-3</v>
      </c>
      <c r="G20" s="3">
        <f t="shared" si="14"/>
        <v>5.628347110150156E-3</v>
      </c>
      <c r="H20" s="3">
        <f t="shared" si="14"/>
        <v>6.9831081869048017E-2</v>
      </c>
      <c r="I20" s="3">
        <f t="shared" si="14"/>
        <v>0.69831081869048017</v>
      </c>
      <c r="J20" s="3">
        <f t="shared" si="14"/>
        <v>1.0474662280357201</v>
      </c>
      <c r="K20" s="3">
        <f t="shared" si="14"/>
        <v>0.67977868087714755</v>
      </c>
      <c r="L20" s="3">
        <f t="shared" si="14"/>
        <v>0.67977868087714755</v>
      </c>
      <c r="M20" s="3">
        <f t="shared" si="14"/>
        <v>1.0196680213157214</v>
      </c>
    </row>
    <row r="21" spans="1:13" x14ac:dyDescent="0.25">
      <c r="A21" t="s">
        <v>26</v>
      </c>
      <c r="B21" s="3">
        <f t="shared" ref="B21:M21" si="15">SQRT(B11^2+B13^2+B18^2+B20^2)</f>
        <v>5.3836664708918658</v>
      </c>
      <c r="C21" s="3">
        <f t="shared" si="15"/>
        <v>5.303607695808938</v>
      </c>
      <c r="D21" s="3">
        <f t="shared" si="15"/>
        <v>5.2704040720290495</v>
      </c>
      <c r="E21" s="3">
        <f t="shared" si="15"/>
        <v>0.66468552407559311</v>
      </c>
      <c r="F21" s="3">
        <f t="shared" si="15"/>
        <v>0.66046364822681636</v>
      </c>
      <c r="G21" s="3">
        <f t="shared" si="15"/>
        <v>0.65826056902544605</v>
      </c>
      <c r="H21" s="3">
        <f t="shared" si="15"/>
        <v>8.7352631678158694</v>
      </c>
      <c r="I21" s="3">
        <f t="shared" si="15"/>
        <v>8.7182196505939196</v>
      </c>
      <c r="J21" s="3">
        <f t="shared" si="15"/>
        <v>8.9295431732646371</v>
      </c>
      <c r="K21" s="3">
        <f t="shared" si="15"/>
        <v>7.8130108930754973</v>
      </c>
      <c r="L21" s="3">
        <f t="shared" si="15"/>
        <v>7.854512963871545</v>
      </c>
      <c r="M21" s="3">
        <f t="shared" si="15"/>
        <v>8.1227705011611491</v>
      </c>
    </row>
    <row r="22" spans="1:13" x14ac:dyDescent="0.25">
      <c r="A22" t="s">
        <v>25</v>
      </c>
      <c r="B22" s="3">
        <f t="shared" ref="B22:M22" si="16">(B2*B14)/((B21*0.01)^2*0.25*PI())</f>
        <v>8094.816451791191</v>
      </c>
      <c r="C22" s="3">
        <f t="shared" si="16"/>
        <v>10633.163647129682</v>
      </c>
      <c r="D22" s="3">
        <f t="shared" si="16"/>
        <v>11865.724190272045</v>
      </c>
      <c r="E22" s="3">
        <f t="shared" si="16"/>
        <v>1538922.5944318154</v>
      </c>
      <c r="F22" s="3">
        <f t="shared" si="16"/>
        <v>1636212.7610393304</v>
      </c>
      <c r="G22" s="3">
        <f t="shared" si="16"/>
        <v>1679489.4908699221</v>
      </c>
      <c r="H22" s="3">
        <f t="shared" si="16"/>
        <v>9106.1653691797037</v>
      </c>
      <c r="I22" s="3">
        <f t="shared" si="16"/>
        <v>13931.440167858676</v>
      </c>
      <c r="J22" s="3">
        <f t="shared" si="16"/>
        <v>15717.330574392447</v>
      </c>
      <c r="K22" s="3">
        <f t="shared" si="16"/>
        <v>42098.068178310074</v>
      </c>
      <c r="L22" s="3">
        <f t="shared" si="16"/>
        <v>60788.201607978517</v>
      </c>
      <c r="M22" s="3">
        <f t="shared" si="16"/>
        <v>66116.973715678265</v>
      </c>
    </row>
    <row r="23" spans="1:13" x14ac:dyDescent="0.25">
      <c r="A23" t="s">
        <v>27</v>
      </c>
      <c r="B23" s="3">
        <f t="shared" ref="B23:M23" si="17">B2*B14</f>
        <v>18.426938240787251</v>
      </c>
      <c r="C23" s="3">
        <f t="shared" si="17"/>
        <v>23.490656994706168</v>
      </c>
      <c r="D23" s="3">
        <f t="shared" si="17"/>
        <v>25.886417824883218</v>
      </c>
      <c r="E23" s="3">
        <f t="shared" si="17"/>
        <v>53.399734587702063</v>
      </c>
      <c r="F23" s="3">
        <f t="shared" si="17"/>
        <v>56.056695790514766</v>
      </c>
      <c r="G23" s="3">
        <f t="shared" si="17"/>
        <v>57.156135053615898</v>
      </c>
      <c r="H23" s="3">
        <f t="shared" si="17"/>
        <v>54.572946311231881</v>
      </c>
      <c r="I23" s="3">
        <f t="shared" si="17"/>
        <v>83.165175572757988</v>
      </c>
      <c r="J23" s="3">
        <f t="shared" si="17"/>
        <v>98.429924428202767</v>
      </c>
      <c r="K23" s="3">
        <f t="shared" si="17"/>
        <v>201.83148152526061</v>
      </c>
      <c r="L23" s="3">
        <f t="shared" si="17"/>
        <v>294.54231656517806</v>
      </c>
      <c r="M23" s="3">
        <f t="shared" si="17"/>
        <v>342.61881939228618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10" workbookViewId="0">
      <selection activeCell="B12" sqref="B12"/>
    </sheetView>
  </sheetViews>
  <sheetFormatPr defaultRowHeight="15" x14ac:dyDescent="0.25"/>
  <cols>
    <col min="1" max="1" width="20.85546875" bestFit="1" customWidth="1"/>
  </cols>
  <sheetData>
    <row r="1" spans="1:2" x14ac:dyDescent="0.25">
      <c r="A1" t="s">
        <v>8</v>
      </c>
      <c r="B1" s="1">
        <v>1E-14</v>
      </c>
    </row>
    <row r="2" spans="1:2" x14ac:dyDescent="0.25">
      <c r="A2" t="s">
        <v>11</v>
      </c>
      <c r="B2" s="1">
        <v>1.2E-4</v>
      </c>
    </row>
    <row r="3" spans="1:2" x14ac:dyDescent="0.25">
      <c r="A3" t="s">
        <v>12</v>
      </c>
      <c r="B3" s="1">
        <v>6.9999999999999994E-5</v>
      </c>
    </row>
    <row r="4" spans="1:2" x14ac:dyDescent="0.25">
      <c r="A4" t="s">
        <v>13</v>
      </c>
      <c r="B4" s="1">
        <v>5.0000000000000002E-5</v>
      </c>
    </row>
    <row r="5" spans="1:2" x14ac:dyDescent="0.25">
      <c r="A5" t="s">
        <v>15</v>
      </c>
      <c r="B5" s="1">
        <f>0.00075*100^3*0.001</f>
        <v>0.75</v>
      </c>
    </row>
    <row r="6" spans="1:2" x14ac:dyDescent="0.25">
      <c r="A6" t="s">
        <v>17</v>
      </c>
      <c r="B6" s="1">
        <v>2.9999999999999997E-8</v>
      </c>
    </row>
    <row r="7" spans="1:2" x14ac:dyDescent="0.25">
      <c r="A7" t="s">
        <v>18</v>
      </c>
      <c r="B7" s="1">
        <v>1.9999999999999999E-6</v>
      </c>
    </row>
    <row r="8" spans="1:2" x14ac:dyDescent="0.25">
      <c r="A8" t="s">
        <v>19</v>
      </c>
      <c r="B8" s="1">
        <v>3.0000000000000001E-6</v>
      </c>
    </row>
    <row r="9" spans="1:2" x14ac:dyDescent="0.25">
      <c r="A9" t="s">
        <v>22</v>
      </c>
      <c r="B9" s="1">
        <v>1.9999999999999999E-6</v>
      </c>
    </row>
    <row r="10" spans="1:2" x14ac:dyDescent="0.25">
      <c r="A10" t="s">
        <v>23</v>
      </c>
      <c r="B10" s="1">
        <v>1.9999999999999999E-6</v>
      </c>
    </row>
    <row r="11" spans="1:2" x14ac:dyDescent="0.25">
      <c r="A11" t="s">
        <v>24</v>
      </c>
      <c r="B11" s="1">
        <v>3.0000000000000001E-6</v>
      </c>
    </row>
    <row r="12" spans="1:2" x14ac:dyDescent="0.25">
      <c r="A12" t="s">
        <v>50</v>
      </c>
      <c r="B12" s="1">
        <v>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Laser Analysis</vt:lpstr>
      <vt:lpstr>Damage Analysis</vt:lpstr>
      <vt:lpstr>Altitude Laser Analysis</vt:lpstr>
      <vt:lpstr>Coefficients</vt:lpstr>
      <vt:lpstr>Aerosol1045</vt:lpstr>
      <vt:lpstr>Aerosol1625</vt:lpstr>
      <vt:lpstr>Aerosol2141</vt:lpstr>
      <vt:lpstr>AerosolAb1045</vt:lpstr>
      <vt:lpstr>AerosolAb1625</vt:lpstr>
      <vt:lpstr>AerosolAb2141</vt:lpstr>
      <vt:lpstr>GamTB</vt:lpstr>
      <vt:lpstr>ScaleHeight</vt:lpstr>
      <vt:lpstr>TurbulenceCoeff</vt:lpstr>
      <vt:lpstr>Vapor1045</vt:lpstr>
      <vt:lpstr>Vapor1625</vt:lpstr>
      <vt:lpstr>Vapor2141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Bean</dc:creator>
  <cp:lastModifiedBy>Byron Coffey</cp:lastModifiedBy>
  <dcterms:created xsi:type="dcterms:W3CDTF">2021-07-14T14:09:55Z</dcterms:created>
  <dcterms:modified xsi:type="dcterms:W3CDTF">2021-08-10T13:15:46Z</dcterms:modified>
</cp:coreProperties>
</file>